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50D11633-63EF-4A21-8D8E-C8162DBF0DE5}" xr6:coauthVersionLast="45" xr6:coauthVersionMax="45" xr10:uidLastSave="{00000000-0000-0000-0000-000000000000}"/>
  <bookViews>
    <workbookView xWindow="-108" yWindow="-108" windowWidth="23256" windowHeight="12576" xr2:uid="{450D2973-C2AF-4ACB-A429-F1383E7D98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  <c r="D59" i="1"/>
  <c r="D57" i="1"/>
  <c r="C58" i="1"/>
  <c r="C59" i="1"/>
  <c r="C57" i="1"/>
  <c r="B58" i="1"/>
  <c r="B59" i="1"/>
  <c r="B57" i="1"/>
  <c r="C53" i="1"/>
  <c r="C51" i="1"/>
  <c r="C52" i="1"/>
  <c r="B39" i="1"/>
  <c r="B40" i="1"/>
  <c r="B41" i="1"/>
  <c r="B42" i="1"/>
  <c r="B43" i="1"/>
  <c r="B44" i="1"/>
  <c r="B45" i="1"/>
  <c r="B38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5" i="1"/>
  <c r="B4" i="1"/>
  <c r="B5" i="1"/>
  <c r="B6" i="1"/>
  <c r="B7" i="1"/>
  <c r="B8" i="1"/>
  <c r="B9" i="1"/>
  <c r="B10" i="1"/>
  <c r="B11" i="1"/>
  <c r="B3" i="1"/>
  <c r="E47" i="1"/>
  <c r="D40" i="1"/>
  <c r="D43" i="1"/>
  <c r="D38" i="1"/>
  <c r="D42" i="1"/>
  <c r="D44" i="1"/>
  <c r="D41" i="1"/>
  <c r="D45" i="1"/>
  <c r="D39" i="1"/>
  <c r="E34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15" i="1"/>
  <c r="E4" i="1"/>
  <c r="F17" i="1" s="1"/>
  <c r="E5" i="1"/>
  <c r="F19" i="1" s="1"/>
  <c r="E6" i="1"/>
  <c r="E7" i="1"/>
  <c r="E8" i="1"/>
  <c r="E9" i="1"/>
  <c r="E10" i="1"/>
  <c r="F30" i="1" s="1"/>
  <c r="E11" i="1"/>
  <c r="F31" i="1" s="1"/>
  <c r="E3" i="1"/>
  <c r="F16" i="1" s="1"/>
  <c r="B52" i="1" l="1"/>
  <c r="B53" i="1"/>
  <c r="B51" i="1"/>
  <c r="G16" i="1"/>
  <c r="H16" i="1" s="1"/>
  <c r="G31" i="1"/>
  <c r="H31" i="1" s="1"/>
  <c r="G19" i="1"/>
  <c r="H19" i="1" s="1"/>
  <c r="G17" i="1"/>
  <c r="H17" i="1" s="1"/>
  <c r="G30" i="1"/>
  <c r="H30" i="1" s="1"/>
  <c r="F43" i="1"/>
  <c r="F38" i="1"/>
  <c r="F28" i="1"/>
  <c r="F20" i="1"/>
  <c r="F27" i="1"/>
  <c r="F42" i="1"/>
  <c r="F26" i="1"/>
  <c r="F18" i="1"/>
  <c r="F44" i="1"/>
  <c r="F41" i="1"/>
  <c r="F15" i="1"/>
  <c r="F25" i="1"/>
  <c r="F32" i="1"/>
  <c r="F24" i="1"/>
  <c r="F39" i="1"/>
  <c r="F45" i="1"/>
  <c r="F23" i="1"/>
  <c r="F22" i="1"/>
  <c r="F40" i="1"/>
  <c r="F29" i="1"/>
  <c r="F21" i="1"/>
  <c r="D53" i="1" l="1"/>
  <c r="E53" i="1" s="1"/>
  <c r="G29" i="1"/>
  <c r="H29" i="1" s="1"/>
  <c r="G22" i="1"/>
  <c r="H22" i="1" s="1"/>
  <c r="G24" i="1"/>
  <c r="H24" i="1" s="1"/>
  <c r="G18" i="1"/>
  <c r="H18" i="1" s="1"/>
  <c r="G28" i="1"/>
  <c r="H28" i="1" s="1"/>
  <c r="G40" i="1"/>
  <c r="H40" i="1" s="1"/>
  <c r="G20" i="1"/>
  <c r="H20" i="1" s="1"/>
  <c r="G32" i="1"/>
  <c r="H32" i="1" s="1"/>
  <c r="G26" i="1"/>
  <c r="H26" i="1" s="1"/>
  <c r="G38" i="1"/>
  <c r="H38" i="1" s="1"/>
  <c r="G15" i="1"/>
  <c r="H15" i="1" s="1"/>
  <c r="D51" i="1" s="1"/>
  <c r="F34" i="1"/>
  <c r="F47" i="1"/>
  <c r="G39" i="1"/>
  <c r="H39" i="1" s="1"/>
  <c r="G43" i="1"/>
  <c r="H43" i="1" s="1"/>
  <c r="G45" i="1"/>
  <c r="H45" i="1" s="1"/>
  <c r="G44" i="1"/>
  <c r="H44" i="1" s="1"/>
  <c r="G23" i="1"/>
  <c r="H23" i="1" s="1"/>
  <c r="D52" i="1" s="1"/>
  <c r="G41" i="1"/>
  <c r="H41" i="1" s="1"/>
  <c r="G42" i="1"/>
  <c r="H42" i="1" s="1"/>
  <c r="G21" i="1"/>
  <c r="H21" i="1" s="1"/>
  <c r="G25" i="1"/>
  <c r="H25" i="1" s="1"/>
  <c r="G27" i="1"/>
  <c r="H27" i="1" s="1"/>
  <c r="E51" i="1" l="1"/>
  <c r="E52" i="1"/>
  <c r="H47" i="1"/>
  <c r="H34" i="1"/>
  <c r="G34" i="1"/>
  <c r="G47" i="1"/>
</calcChain>
</file>

<file path=xl/sharedStrings.xml><?xml version="1.0" encoding="utf-8"?>
<sst xmlns="http://schemas.openxmlformats.org/spreadsheetml/2006/main" count="130" uniqueCount="68">
  <si>
    <t>商品一覧表</t>
    <rPh sb="0" eb="2">
      <t>ショウヒン</t>
    </rPh>
    <rPh sb="2" eb="4">
      <t>イチラン</t>
    </rPh>
    <rPh sb="4" eb="5">
      <t>ヒョウ</t>
    </rPh>
    <phoneticPr fontId="1"/>
  </si>
  <si>
    <t>商CO</t>
    <rPh sb="0" eb="1">
      <t>ショウ</t>
    </rPh>
    <phoneticPr fontId="1"/>
  </si>
  <si>
    <t>商品名</t>
    <rPh sb="0" eb="3">
      <t>ショウヒンメイ</t>
    </rPh>
    <phoneticPr fontId="1"/>
  </si>
  <si>
    <t>定価</t>
    <rPh sb="0" eb="2">
      <t>テイカ</t>
    </rPh>
    <phoneticPr fontId="1"/>
  </si>
  <si>
    <t>在庫数</t>
    <rPh sb="0" eb="3">
      <t>ザイコスウ</t>
    </rPh>
    <phoneticPr fontId="1"/>
  </si>
  <si>
    <t>売価</t>
    <rPh sb="0" eb="2">
      <t>バイカ</t>
    </rPh>
    <phoneticPr fontId="1"/>
  </si>
  <si>
    <t>売上額一覧表</t>
    <rPh sb="0" eb="2">
      <t>ウリアゲ</t>
    </rPh>
    <rPh sb="2" eb="3">
      <t>ガク</t>
    </rPh>
    <rPh sb="3" eb="6">
      <t>イチランヒョウ</t>
    </rPh>
    <phoneticPr fontId="1"/>
  </si>
  <si>
    <t>得CO</t>
    <rPh sb="0" eb="1">
      <t>トク</t>
    </rPh>
    <phoneticPr fontId="1"/>
  </si>
  <si>
    <t>得意先名</t>
    <rPh sb="0" eb="3">
      <t>トクイサキ</t>
    </rPh>
    <rPh sb="3" eb="4">
      <t>メイ</t>
    </rPh>
    <phoneticPr fontId="1"/>
  </si>
  <si>
    <t>売上数</t>
    <rPh sb="0" eb="2">
      <t>ウリアゲ</t>
    </rPh>
    <rPh sb="2" eb="3">
      <t>スウ</t>
    </rPh>
    <phoneticPr fontId="1"/>
  </si>
  <si>
    <t>売上額</t>
    <rPh sb="0" eb="2">
      <t>ウリアゲ</t>
    </rPh>
    <rPh sb="2" eb="3">
      <t>ガク</t>
    </rPh>
    <phoneticPr fontId="1"/>
  </si>
  <si>
    <t>割引額</t>
    <rPh sb="0" eb="3">
      <t>ワリビキガク</t>
    </rPh>
    <phoneticPr fontId="1"/>
  </si>
  <si>
    <t>請求額</t>
    <rPh sb="0" eb="3">
      <t>セイキュウガク</t>
    </rPh>
    <phoneticPr fontId="1"/>
  </si>
  <si>
    <t>合計</t>
    <rPh sb="0" eb="2">
      <t>ゴウケイ</t>
    </rPh>
    <phoneticPr fontId="1"/>
  </si>
  <si>
    <t>得意先計算表</t>
    <rPh sb="0" eb="3">
      <t>トクイサキ</t>
    </rPh>
    <rPh sb="3" eb="5">
      <t>ケイサン</t>
    </rPh>
    <rPh sb="5" eb="6">
      <t>ヒョウ</t>
    </rPh>
    <phoneticPr fontId="1"/>
  </si>
  <si>
    <t>請求額</t>
    <rPh sb="0" eb="2">
      <t>セイキュウ</t>
    </rPh>
    <rPh sb="2" eb="3">
      <t>ガク</t>
    </rPh>
    <phoneticPr fontId="1"/>
  </si>
  <si>
    <t>構成比率</t>
    <rPh sb="0" eb="2">
      <t>コウセイ</t>
    </rPh>
    <rPh sb="2" eb="4">
      <t>ヒリツ</t>
    </rPh>
    <phoneticPr fontId="1"/>
  </si>
  <si>
    <t>中村総業</t>
    <rPh sb="0" eb="2">
      <t>ナカムラ</t>
    </rPh>
    <rPh sb="2" eb="4">
      <t>ソウギョウ</t>
    </rPh>
    <phoneticPr fontId="1"/>
  </si>
  <si>
    <t>下田企画</t>
    <rPh sb="0" eb="2">
      <t>シモダ</t>
    </rPh>
    <rPh sb="2" eb="4">
      <t>キカク</t>
    </rPh>
    <phoneticPr fontId="1"/>
  </si>
  <si>
    <t>ニシカワ</t>
    <phoneticPr fontId="1"/>
  </si>
  <si>
    <t>12B</t>
    <phoneticPr fontId="1"/>
  </si>
  <si>
    <t>13C</t>
    <phoneticPr fontId="1"/>
  </si>
  <si>
    <t>11A</t>
    <phoneticPr fontId="1"/>
  </si>
  <si>
    <t>分類表</t>
    <rPh sb="0" eb="2">
      <t>ブンルイ</t>
    </rPh>
    <rPh sb="2" eb="3">
      <t>ヒョウ</t>
    </rPh>
    <phoneticPr fontId="1"/>
  </si>
  <si>
    <t>分類名</t>
    <rPh sb="0" eb="2">
      <t>ブンルイ</t>
    </rPh>
    <rPh sb="2" eb="3">
      <t>メイ</t>
    </rPh>
    <phoneticPr fontId="1"/>
  </si>
  <si>
    <t>100番台</t>
    <rPh sb="3" eb="4">
      <t>バン</t>
    </rPh>
    <rPh sb="4" eb="5">
      <t>ダイ</t>
    </rPh>
    <phoneticPr fontId="1"/>
  </si>
  <si>
    <t>200番台</t>
    <rPh sb="3" eb="4">
      <t>バン</t>
    </rPh>
    <rPh sb="4" eb="5">
      <t>ダイ</t>
    </rPh>
    <phoneticPr fontId="1"/>
  </si>
  <si>
    <t>300番台</t>
    <rPh sb="3" eb="4">
      <t>バン</t>
    </rPh>
    <rPh sb="4" eb="5">
      <t>ダイ</t>
    </rPh>
    <phoneticPr fontId="1"/>
  </si>
  <si>
    <t>ポケット</t>
    <phoneticPr fontId="1"/>
  </si>
  <si>
    <t>リング</t>
    <phoneticPr fontId="1"/>
  </si>
  <si>
    <t>パイプ</t>
    <phoneticPr fontId="1"/>
  </si>
  <si>
    <t>サイズテーブル</t>
    <phoneticPr fontId="1"/>
  </si>
  <si>
    <t>型番</t>
    <rPh sb="0" eb="2">
      <t>カタバン</t>
    </rPh>
    <phoneticPr fontId="1"/>
  </si>
  <si>
    <t>サイズ</t>
    <phoneticPr fontId="1"/>
  </si>
  <si>
    <t>Ａ４タテ</t>
    <phoneticPr fontId="1"/>
  </si>
  <si>
    <t>Ａ４ヨコ</t>
    <phoneticPr fontId="1"/>
  </si>
  <si>
    <t>Ｂ５タテ</t>
    <phoneticPr fontId="1"/>
  </si>
  <si>
    <t>値引率表</t>
    <rPh sb="0" eb="2">
      <t>ネビキ</t>
    </rPh>
    <rPh sb="2" eb="3">
      <t>リツ</t>
    </rPh>
    <rPh sb="3" eb="4">
      <t>ヒョウ</t>
    </rPh>
    <phoneticPr fontId="1"/>
  </si>
  <si>
    <t>在庫数</t>
    <rPh sb="0" eb="2">
      <t>ザイコ</t>
    </rPh>
    <rPh sb="2" eb="3">
      <t>スウ</t>
    </rPh>
    <phoneticPr fontId="1"/>
  </si>
  <si>
    <t>1,000以上</t>
    <rPh sb="5" eb="7">
      <t>イジョウ</t>
    </rPh>
    <phoneticPr fontId="1"/>
  </si>
  <si>
    <t>　　1以上　1,000未満</t>
    <rPh sb="3" eb="5">
      <t>イジョウ</t>
    </rPh>
    <rPh sb="11" eb="13">
      <t>ミマン</t>
    </rPh>
    <phoneticPr fontId="1"/>
  </si>
  <si>
    <t>100番台</t>
    <rPh sb="3" eb="5">
      <t>バンダイ</t>
    </rPh>
    <phoneticPr fontId="1"/>
  </si>
  <si>
    <t>200番台</t>
    <rPh sb="3" eb="5">
      <t>バンダイ</t>
    </rPh>
    <phoneticPr fontId="1"/>
  </si>
  <si>
    <t>300番台</t>
    <rPh sb="3" eb="5">
      <t>バンダイ</t>
    </rPh>
    <phoneticPr fontId="1"/>
  </si>
  <si>
    <t>得意先テーブル</t>
    <rPh sb="0" eb="3">
      <t>トクイサキ</t>
    </rPh>
    <phoneticPr fontId="1"/>
  </si>
  <si>
    <t>得CO</t>
    <rPh sb="0" eb="1">
      <t>トク</t>
    </rPh>
    <phoneticPr fontId="1"/>
  </si>
  <si>
    <t>得意先名</t>
    <rPh sb="0" eb="3">
      <t>トクイサキ</t>
    </rPh>
    <rPh sb="3" eb="4">
      <t>メイ</t>
    </rPh>
    <phoneticPr fontId="1"/>
  </si>
  <si>
    <t>11A</t>
    <phoneticPr fontId="1"/>
  </si>
  <si>
    <t>12B</t>
    <phoneticPr fontId="1"/>
  </si>
  <si>
    <t>13C</t>
    <phoneticPr fontId="1"/>
  </si>
  <si>
    <t>中村総業</t>
    <rPh sb="0" eb="4">
      <t>ナカムラソウギョウ</t>
    </rPh>
    <phoneticPr fontId="1"/>
  </si>
  <si>
    <t>下田企画</t>
    <rPh sb="0" eb="2">
      <t>シモダ</t>
    </rPh>
    <rPh sb="2" eb="4">
      <t>キカク</t>
    </rPh>
    <phoneticPr fontId="1"/>
  </si>
  <si>
    <t>ニシカワ</t>
    <phoneticPr fontId="1"/>
  </si>
  <si>
    <t>割引額の計算式</t>
    <rPh sb="0" eb="3">
      <t>ワリビキガク</t>
    </rPh>
    <rPh sb="4" eb="7">
      <t>ケイサンシキ</t>
    </rPh>
    <phoneticPr fontId="1"/>
  </si>
  <si>
    <t>得COの右から１文字目</t>
    <rPh sb="0" eb="1">
      <t>トク</t>
    </rPh>
    <rPh sb="4" eb="5">
      <t>ミギ</t>
    </rPh>
    <rPh sb="8" eb="11">
      <t>モジメ</t>
    </rPh>
    <phoneticPr fontId="1"/>
  </si>
  <si>
    <t>C</t>
    <phoneticPr fontId="1"/>
  </si>
  <si>
    <t>それ以外</t>
    <rPh sb="2" eb="4">
      <t>イガイ</t>
    </rPh>
    <phoneticPr fontId="1"/>
  </si>
  <si>
    <t>割引額</t>
    <rPh sb="0" eb="3">
      <t>ワリビキガク</t>
    </rPh>
    <phoneticPr fontId="1"/>
  </si>
  <si>
    <t>売上額×3.6％</t>
    <rPh sb="0" eb="2">
      <t>ウリアゲ</t>
    </rPh>
    <rPh sb="2" eb="3">
      <t>ガク</t>
    </rPh>
    <phoneticPr fontId="1"/>
  </si>
  <si>
    <t>売上額×4.3％</t>
    <rPh sb="0" eb="2">
      <t>ウリアゲ</t>
    </rPh>
    <rPh sb="2" eb="3">
      <t>ガク</t>
    </rPh>
    <phoneticPr fontId="1"/>
  </si>
  <si>
    <t>※割引額は整数未満切り上げ</t>
    <rPh sb="1" eb="4">
      <t>ワリビキガク</t>
    </rPh>
    <rPh sb="5" eb="7">
      <t>セイスウ</t>
    </rPh>
    <rPh sb="7" eb="9">
      <t>ミマン</t>
    </rPh>
    <rPh sb="9" eb="10">
      <t>キ</t>
    </rPh>
    <rPh sb="11" eb="12">
      <t>ア</t>
    </rPh>
    <phoneticPr fontId="1"/>
  </si>
  <si>
    <t>中村総業</t>
    <rPh sb="0" eb="4">
      <t>ナカムラソウギョウ</t>
    </rPh>
    <phoneticPr fontId="1"/>
  </si>
  <si>
    <t>得意先名</t>
    <rPh sb="0" eb="3">
      <t>トクイサキ</t>
    </rPh>
    <rPh sb="3" eb="4">
      <t>メイ</t>
    </rPh>
    <phoneticPr fontId="1"/>
  </si>
  <si>
    <t>下田企画</t>
    <rPh sb="0" eb="2">
      <t>シモダ</t>
    </rPh>
    <rPh sb="2" eb="4">
      <t>キカク</t>
    </rPh>
    <phoneticPr fontId="1"/>
  </si>
  <si>
    <t>ニシカワ</t>
    <phoneticPr fontId="1"/>
  </si>
  <si>
    <t>割引額</t>
    <rPh sb="0" eb="3">
      <t>ワリビキガク</t>
    </rPh>
    <phoneticPr fontId="1"/>
  </si>
  <si>
    <t>別解答</t>
    <rPh sb="0" eb="1">
      <t>ベツ</t>
    </rPh>
    <rPh sb="1" eb="3">
      <t>カイトウ</t>
    </rPh>
    <phoneticPr fontId="1"/>
  </si>
  <si>
    <t>本解答はDSUM、別解答はSUMIFを使用しています。</t>
    <rPh sb="0" eb="1">
      <t>ホン</t>
    </rPh>
    <rPh sb="1" eb="3">
      <t>カイトウ</t>
    </rPh>
    <rPh sb="9" eb="10">
      <t>ベツ</t>
    </rPh>
    <rPh sb="10" eb="12">
      <t>カイトウ</t>
    </rPh>
    <rPh sb="19" eb="21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</si>
</sst>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80" formatCode="0.0%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9" fontId="0" fillId="0" borderId="1" xfId="0" applyNumberFormat="1" applyBorder="1">
      <alignment vertical="center"/>
    </xf>
    <xf numFmtId="9" fontId="0" fillId="2" borderId="1" xfId="0" applyNumberFormat="1" applyFill="1" applyBorder="1">
      <alignment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left" vertical="center"/>
    </xf>
    <xf numFmtId="176" fontId="0" fillId="2" borderId="2" xfId="0" applyNumberFormat="1" applyFill="1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80" fontId="0" fillId="0" borderId="11" xfId="0" applyNumberFormat="1" applyBorder="1">
      <alignment vertical="center"/>
    </xf>
    <xf numFmtId="180" fontId="0" fillId="0" borderId="14" xfId="0" applyNumberFormat="1" applyBorder="1">
      <alignment vertical="center"/>
    </xf>
    <xf numFmtId="176" fontId="0" fillId="0" borderId="15" xfId="0" applyNumberFormat="1" applyBorder="1" applyAlignment="1">
      <alignment horizontal="center" vertical="center"/>
    </xf>
    <xf numFmtId="176" fontId="2" fillId="0" borderId="0" xfId="0" applyNumberFormat="1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得意先別の比較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Sheet1!$C$50</c:f>
              <c:strCache>
                <c:ptCount val="1"/>
                <c:pt idx="0">
                  <c:v>割引額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Sheet1!$A$51:$A$53</c:f>
              <c:strCache>
                <c:ptCount val="3"/>
                <c:pt idx="0">
                  <c:v>下田企画</c:v>
                </c:pt>
                <c:pt idx="1">
                  <c:v>中村総業</c:v>
                </c:pt>
                <c:pt idx="2">
                  <c:v>ニシカワ</c:v>
                </c:pt>
              </c:strCache>
            </c:strRef>
          </c:cat>
          <c:val>
            <c:numRef>
              <c:f>Sheet1!$C$51:$C$53</c:f>
              <c:numCache>
                <c:formatCode>#,##0_ </c:formatCode>
                <c:ptCount val="3"/>
                <c:pt idx="0">
                  <c:v>86170</c:v>
                </c:pt>
                <c:pt idx="1">
                  <c:v>65175</c:v>
                </c:pt>
                <c:pt idx="2">
                  <c:v>61196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61-4D7C-82D0-547148CD0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14476448"/>
        <c:axId val="714480056"/>
      </c:barChart>
      <c:lineChart>
        <c:grouping val="standard"/>
        <c:varyColors val="0"/>
        <c:ser>
          <c:idx val="0"/>
          <c:order val="0"/>
          <c:tx>
            <c:strRef>
              <c:f>Sheet1!$B$50</c:f>
              <c:strCache>
                <c:ptCount val="1"/>
                <c:pt idx="0">
                  <c:v>売上数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Sheet1!$A$51:$A$53</c:f>
              <c:strCache>
                <c:ptCount val="3"/>
                <c:pt idx="0">
                  <c:v>下田企画</c:v>
                </c:pt>
                <c:pt idx="1">
                  <c:v>中村総業</c:v>
                </c:pt>
                <c:pt idx="2">
                  <c:v>ニシカワ</c:v>
                </c:pt>
              </c:strCache>
            </c:strRef>
          </c:cat>
          <c:val>
            <c:numRef>
              <c:f>Sheet1!$B$51:$B$53</c:f>
              <c:numCache>
                <c:formatCode>#,##0_ </c:formatCode>
                <c:ptCount val="3"/>
                <c:pt idx="0">
                  <c:v>3238</c:v>
                </c:pt>
                <c:pt idx="1">
                  <c:v>2250</c:v>
                </c:pt>
                <c:pt idx="2">
                  <c:v>2766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1-4D7C-82D0-547148CD0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474480"/>
        <c:axId val="714471856"/>
      </c:lineChart>
      <c:catAx>
        <c:axId val="71447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4471856"/>
        <c:crosses val="autoZero"/>
        <c:auto val="1"/>
        <c:lblAlgn val="ctr"/>
        <c:lblOffset val="100"/>
        <c:noMultiLvlLbl val="0"/>
      </c:catAx>
      <c:valAx>
        <c:axId val="71447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4474480"/>
        <c:crosses val="autoZero"/>
        <c:crossBetween val="between"/>
      </c:valAx>
      <c:valAx>
        <c:axId val="71448005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4476448"/>
        <c:crosses val="max"/>
        <c:crossBetween val="between"/>
      </c:valAx>
      <c:catAx>
        <c:axId val="714476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448005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308610</xdr:colOff>
      <xdr:row>35</xdr:row>
      <xdr:rowOff>19050</xdr:rowOff>
    </xdr:from>
    <xdr:to>
      <xdr:col>15</xdr:col>
      <xdr:colOff>727710</xdr:colOff>
      <xdr:row>47</xdr:row>
      <xdr:rowOff>3810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8D3DBAC-13CE-412C-BD25-8D5C8B980A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91912-D0EE-4E5B-8DD2-FC8BFA77A65E}">
  <dimension ref="A1:V59"/>
  <sheetViews>
    <sheetView tabSelected="1" topLeftCell="A46" workbookViewId="0">
      <selection activeCell="I59" sqref="I59"/>
    </sheetView>
  </sheetViews>
  <sheetFormatPr defaultRowHeight="18" x14ac:dyDescent="0.45"/>
  <cols>
    <col min="1" max="1" width="8.59765625" style="1" bestFit="1" customWidth="1"/>
    <col min="2" max="2" width="16.296875" style="1" bestFit="1" customWidth="1"/>
    <col min="3" max="3" width="7.3984375" style="1" bestFit="1" customWidth="1"/>
    <col min="4" max="4" width="9.8984375" style="1" bestFit="1" customWidth="1"/>
    <col min="5" max="5" width="10.296875" style="1" bestFit="1" customWidth="1"/>
    <col min="6" max="6" width="9.8984375" style="1" bestFit="1" customWidth="1"/>
    <col min="7" max="7" width="8.59765625" style="1" bestFit="1" customWidth="1"/>
    <col min="8" max="8" width="9.8984375" style="1" bestFit="1" customWidth="1"/>
    <col min="9" max="9" width="8.59765625" style="1" bestFit="1" customWidth="1"/>
    <col min="10" max="10" width="8" style="1" bestFit="1" customWidth="1"/>
    <col min="11" max="11" width="8.59765625" style="1" bestFit="1" customWidth="1"/>
    <col min="12" max="12" width="4.69921875" style="1" customWidth="1"/>
    <col min="13" max="13" width="8" style="1" bestFit="1" customWidth="1"/>
    <col min="14" max="14" width="8.59765625" style="1" bestFit="1" customWidth="1"/>
    <col min="15" max="15" width="8" style="1" bestFit="1" customWidth="1"/>
    <col min="16" max="16" width="13.19921875" style="1" bestFit="1" customWidth="1"/>
    <col min="17" max="17" width="8.59765625" style="1" bestFit="1" customWidth="1"/>
    <col min="18" max="19" width="1.69921875" style="1" customWidth="1"/>
    <col min="20" max="22" width="8" style="1" bestFit="1" customWidth="1"/>
    <col min="23" max="16384" width="8.796875" style="1"/>
  </cols>
  <sheetData>
    <row r="1" spans="1:22" ht="18.600000000000001" thickBot="1" x14ac:dyDescent="0.5">
      <c r="A1" s="25" t="s">
        <v>0</v>
      </c>
      <c r="B1" s="25"/>
      <c r="C1" s="25"/>
      <c r="D1" s="25"/>
      <c r="E1" s="25"/>
    </row>
    <row r="2" spans="1:22" x14ac:dyDescent="0.45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J2" s="26" t="s">
        <v>23</v>
      </c>
      <c r="K2" s="26"/>
      <c r="M2" s="27" t="s">
        <v>31</v>
      </c>
      <c r="N2" s="27"/>
      <c r="P2" s="21" t="s">
        <v>23</v>
      </c>
      <c r="Q2" s="21"/>
    </row>
    <row r="3" spans="1:22" x14ac:dyDescent="0.45">
      <c r="A3" s="12">
        <v>101</v>
      </c>
      <c r="B3" s="3" t="str">
        <f>VLOOKUP(A3,$P$4:$Q$6,2,1)&amp;VLOOKUP(MOD(A3,100),$M$4:$N$6,2,0)</f>
        <v>ポケットＡ４タテ</v>
      </c>
      <c r="C3" s="3">
        <v>540</v>
      </c>
      <c r="D3" s="3">
        <v>1257</v>
      </c>
      <c r="E3" s="13">
        <f>ROUNDDOWN(C3*(1-VLOOKUP(D3,$Q$11:$V$12,INT(A3/100)+3,1)),-1)</f>
        <v>510</v>
      </c>
      <c r="J3" s="2" t="s">
        <v>1</v>
      </c>
      <c r="K3" s="2" t="s">
        <v>24</v>
      </c>
      <c r="M3" s="2" t="s">
        <v>32</v>
      </c>
      <c r="N3" s="2" t="s">
        <v>33</v>
      </c>
      <c r="P3" s="5" t="s">
        <v>1</v>
      </c>
      <c r="Q3" s="5" t="s">
        <v>24</v>
      </c>
    </row>
    <row r="4" spans="1:22" x14ac:dyDescent="0.45">
      <c r="A4" s="12">
        <v>102</v>
      </c>
      <c r="B4" s="3" t="str">
        <f t="shared" ref="B4:B11" si="0">VLOOKUP(A4,$P$4:$Q$6,2,1)&amp;VLOOKUP(MOD(A4,100),$M$4:$N$6,2,0)</f>
        <v>ポケットＡ４ヨコ</v>
      </c>
      <c r="C4" s="3">
        <v>790</v>
      </c>
      <c r="D4" s="3">
        <v>976</v>
      </c>
      <c r="E4" s="13">
        <f t="shared" ref="E4:E11" si="1">ROUNDDOWN(C4*(1-VLOOKUP(D4,$Q$11:$V$12,INT(A4/100)+3,1)),-1)</f>
        <v>770</v>
      </c>
      <c r="J4" s="3" t="s">
        <v>25</v>
      </c>
      <c r="K4" s="3" t="s">
        <v>28</v>
      </c>
      <c r="M4" s="3">
        <v>1</v>
      </c>
      <c r="N4" s="3" t="s">
        <v>34</v>
      </c>
      <c r="P4" s="6">
        <v>100</v>
      </c>
      <c r="Q4" s="6" t="s">
        <v>28</v>
      </c>
    </row>
    <row r="5" spans="1:22" x14ac:dyDescent="0.45">
      <c r="A5" s="12">
        <v>103</v>
      </c>
      <c r="B5" s="3" t="str">
        <f t="shared" si="0"/>
        <v>ポケットＢ５タテ</v>
      </c>
      <c r="C5" s="3">
        <v>230</v>
      </c>
      <c r="D5" s="3">
        <v>723</v>
      </c>
      <c r="E5" s="13">
        <f t="shared" si="1"/>
        <v>220</v>
      </c>
      <c r="J5" s="3" t="s">
        <v>26</v>
      </c>
      <c r="K5" s="3" t="s">
        <v>29</v>
      </c>
      <c r="M5" s="3">
        <v>2</v>
      </c>
      <c r="N5" s="3" t="s">
        <v>35</v>
      </c>
      <c r="P5" s="6">
        <v>200</v>
      </c>
      <c r="Q5" s="6" t="s">
        <v>29</v>
      </c>
    </row>
    <row r="6" spans="1:22" x14ac:dyDescent="0.45">
      <c r="A6" s="12">
        <v>201</v>
      </c>
      <c r="B6" s="3" t="str">
        <f t="shared" si="0"/>
        <v>リングＡ４タテ</v>
      </c>
      <c r="C6" s="3">
        <v>610</v>
      </c>
      <c r="D6" s="3">
        <v>1612</v>
      </c>
      <c r="E6" s="13">
        <f t="shared" si="1"/>
        <v>570</v>
      </c>
      <c r="J6" s="3" t="s">
        <v>27</v>
      </c>
      <c r="K6" s="3" t="s">
        <v>30</v>
      </c>
      <c r="M6" s="3">
        <v>3</v>
      </c>
      <c r="N6" s="3" t="s">
        <v>36</v>
      </c>
      <c r="P6" s="6">
        <v>300</v>
      </c>
      <c r="Q6" s="6" t="s">
        <v>30</v>
      </c>
    </row>
    <row r="7" spans="1:22" x14ac:dyDescent="0.45">
      <c r="A7" s="12">
        <v>202</v>
      </c>
      <c r="B7" s="3" t="str">
        <f t="shared" si="0"/>
        <v>リングＡ４ヨコ</v>
      </c>
      <c r="C7" s="3">
        <v>820</v>
      </c>
      <c r="D7" s="3">
        <v>829</v>
      </c>
      <c r="E7" s="13">
        <f t="shared" si="1"/>
        <v>790</v>
      </c>
    </row>
    <row r="8" spans="1:22" x14ac:dyDescent="0.45">
      <c r="A8" s="12">
        <v>203</v>
      </c>
      <c r="B8" s="3" t="str">
        <f t="shared" si="0"/>
        <v>リングＢ５タテ</v>
      </c>
      <c r="C8" s="3">
        <v>350</v>
      </c>
      <c r="D8" s="3">
        <v>651</v>
      </c>
      <c r="E8" s="13">
        <f t="shared" si="1"/>
        <v>330</v>
      </c>
      <c r="J8" s="27" t="s">
        <v>37</v>
      </c>
      <c r="K8" s="27"/>
      <c r="L8" s="27"/>
      <c r="M8" s="27"/>
      <c r="N8" s="27"/>
      <c r="O8" s="27"/>
      <c r="Q8" s="24" t="s">
        <v>37</v>
      </c>
      <c r="R8" s="24"/>
      <c r="S8" s="24"/>
      <c r="T8" s="24"/>
      <c r="U8" s="24"/>
      <c r="V8" s="24"/>
    </row>
    <row r="9" spans="1:22" x14ac:dyDescent="0.45">
      <c r="A9" s="12">
        <v>301</v>
      </c>
      <c r="B9" s="3" t="str">
        <f t="shared" si="0"/>
        <v>パイプＡ４タテ</v>
      </c>
      <c r="C9" s="3">
        <v>850</v>
      </c>
      <c r="D9" s="3">
        <v>1725</v>
      </c>
      <c r="E9" s="13">
        <f t="shared" si="1"/>
        <v>790</v>
      </c>
      <c r="J9" s="29" t="s">
        <v>38</v>
      </c>
      <c r="K9" s="29"/>
      <c r="L9" s="29"/>
      <c r="M9" s="29" t="s">
        <v>1</v>
      </c>
      <c r="N9" s="29"/>
      <c r="O9" s="29"/>
      <c r="Q9" s="22" t="s">
        <v>38</v>
      </c>
      <c r="R9" s="22"/>
      <c r="S9" s="22"/>
      <c r="T9" s="22" t="s">
        <v>1</v>
      </c>
      <c r="U9" s="22"/>
      <c r="V9" s="22"/>
    </row>
    <row r="10" spans="1:22" x14ac:dyDescent="0.45">
      <c r="A10" s="12">
        <v>302</v>
      </c>
      <c r="B10" s="3" t="str">
        <f t="shared" si="0"/>
        <v>パイプＡ４ヨコ</v>
      </c>
      <c r="C10" s="3">
        <v>930</v>
      </c>
      <c r="D10" s="3">
        <v>978</v>
      </c>
      <c r="E10" s="13">
        <f t="shared" si="1"/>
        <v>890</v>
      </c>
      <c r="J10" s="29"/>
      <c r="K10" s="29"/>
      <c r="L10" s="29"/>
      <c r="M10" s="3" t="s">
        <v>41</v>
      </c>
      <c r="N10" s="3" t="s">
        <v>42</v>
      </c>
      <c r="O10" s="3" t="s">
        <v>43</v>
      </c>
      <c r="Q10" s="22"/>
      <c r="R10" s="22"/>
      <c r="S10" s="22"/>
      <c r="T10" s="6" t="s">
        <v>41</v>
      </c>
      <c r="U10" s="6" t="s">
        <v>42</v>
      </c>
      <c r="V10" s="6" t="s">
        <v>43</v>
      </c>
    </row>
    <row r="11" spans="1:22" ht="18.600000000000001" thickBot="1" x14ac:dyDescent="0.5">
      <c r="A11" s="14">
        <v>303</v>
      </c>
      <c r="B11" s="15" t="str">
        <f t="shared" si="0"/>
        <v>パイプＢ５タテ</v>
      </c>
      <c r="C11" s="15">
        <v>760</v>
      </c>
      <c r="D11" s="15">
        <v>637</v>
      </c>
      <c r="E11" s="16">
        <f t="shared" si="1"/>
        <v>720</v>
      </c>
      <c r="J11" s="28" t="s">
        <v>40</v>
      </c>
      <c r="K11" s="28"/>
      <c r="L11" s="28"/>
      <c r="M11" s="7">
        <v>0.02</v>
      </c>
      <c r="N11" s="7">
        <v>0.03</v>
      </c>
      <c r="O11" s="7">
        <v>0.04</v>
      </c>
      <c r="Q11" s="23">
        <v>1</v>
      </c>
      <c r="R11" s="23"/>
      <c r="S11" s="23"/>
      <c r="T11" s="8">
        <v>0.02</v>
      </c>
      <c r="U11" s="8">
        <v>0.03</v>
      </c>
      <c r="V11" s="8">
        <v>0.04</v>
      </c>
    </row>
    <row r="12" spans="1:22" x14ac:dyDescent="0.45">
      <c r="J12" s="28" t="s">
        <v>39</v>
      </c>
      <c r="K12" s="28"/>
      <c r="L12" s="28"/>
      <c r="M12" s="7">
        <v>0.05</v>
      </c>
      <c r="N12" s="7">
        <v>0.06</v>
      </c>
      <c r="O12" s="7">
        <v>7.0000000000000007E-2</v>
      </c>
      <c r="Q12" s="23">
        <v>1000</v>
      </c>
      <c r="R12" s="23"/>
      <c r="S12" s="23"/>
      <c r="T12" s="8">
        <v>0.05</v>
      </c>
      <c r="U12" s="8">
        <v>0.06</v>
      </c>
      <c r="V12" s="8">
        <v>7.0000000000000007E-2</v>
      </c>
    </row>
    <row r="13" spans="1:22" ht="18.600000000000001" thickBot="1" x14ac:dyDescent="0.5">
      <c r="A13" s="25" t="s">
        <v>6</v>
      </c>
      <c r="B13" s="25"/>
      <c r="C13" s="25"/>
      <c r="D13" s="25"/>
      <c r="E13" s="25"/>
      <c r="F13" s="25"/>
      <c r="G13" s="25"/>
      <c r="H13" s="25"/>
    </row>
    <row r="14" spans="1:22" x14ac:dyDescent="0.45">
      <c r="A14" s="9" t="s">
        <v>1</v>
      </c>
      <c r="B14" s="10" t="s">
        <v>2</v>
      </c>
      <c r="C14" s="10" t="s">
        <v>7</v>
      </c>
      <c r="D14" s="10" t="s">
        <v>8</v>
      </c>
      <c r="E14" s="10" t="s">
        <v>9</v>
      </c>
      <c r="F14" s="10" t="s">
        <v>10</v>
      </c>
      <c r="G14" s="10" t="s">
        <v>11</v>
      </c>
      <c r="H14" s="11" t="s">
        <v>12</v>
      </c>
      <c r="J14" s="26" t="s">
        <v>44</v>
      </c>
      <c r="K14" s="26"/>
      <c r="M14" s="27" t="s">
        <v>53</v>
      </c>
      <c r="N14" s="27"/>
      <c r="O14" s="27"/>
      <c r="P14" s="27"/>
    </row>
    <row r="15" spans="1:22" x14ac:dyDescent="0.45">
      <c r="A15" s="12">
        <v>101</v>
      </c>
      <c r="B15" s="3" t="str">
        <f>VLOOKUP(A15,$P$4:$Q$6,2,1)&amp;VLOOKUP(MOD(A15,100),$M$4:$N$6,2,0)</f>
        <v>ポケットＡ４タテ</v>
      </c>
      <c r="C15" s="3" t="s">
        <v>20</v>
      </c>
      <c r="D15" s="3" t="str">
        <f>VLOOKUP(C15,$J$16:$K$18,2,0)</f>
        <v>下田企画</v>
      </c>
      <c r="E15" s="3">
        <v>875</v>
      </c>
      <c r="F15" s="3">
        <f>VLOOKUP(A15,$A$3:$E$11,5,0)*E15</f>
        <v>446250</v>
      </c>
      <c r="G15" s="3">
        <f>ROUNDUP(IF(RIGHT(C15,1)="C",F15*3.6%,F15*4.3%),0)</f>
        <v>19189</v>
      </c>
      <c r="H15" s="13">
        <f>F15-G15</f>
        <v>427061</v>
      </c>
      <c r="J15" s="4" t="s">
        <v>45</v>
      </c>
      <c r="K15" s="4" t="s">
        <v>46</v>
      </c>
      <c r="M15" s="17" t="s">
        <v>54</v>
      </c>
      <c r="N15" s="18"/>
      <c r="O15" s="19"/>
      <c r="P15" s="4" t="s">
        <v>57</v>
      </c>
    </row>
    <row r="16" spans="1:22" x14ac:dyDescent="0.45">
      <c r="A16" s="12">
        <v>101</v>
      </c>
      <c r="B16" s="3" t="str">
        <f t="shared" ref="B16:B32" si="2">VLOOKUP(A16,$P$4:$Q$6,2,1)&amp;VLOOKUP(MOD(A16,100),$M$4:$N$6,2,0)</f>
        <v>ポケットＡ４タテ</v>
      </c>
      <c r="C16" s="3" t="s">
        <v>21</v>
      </c>
      <c r="D16" s="3" t="str">
        <f t="shared" ref="D16:D32" si="3">VLOOKUP(C16,$J$16:$K$18,2,0)</f>
        <v>ニシカワ</v>
      </c>
      <c r="E16" s="3">
        <v>382</v>
      </c>
      <c r="F16" s="3">
        <f t="shared" ref="F16:F32" si="4">VLOOKUP(A16,$A$3:$E$11,5,0)*E16</f>
        <v>194820</v>
      </c>
      <c r="G16" s="3">
        <f t="shared" ref="G16:G32" si="5">ROUNDUP(IF(RIGHT(C16,1)="C",F16*3.6%,F16*4.3%),0)</f>
        <v>7014</v>
      </c>
      <c r="H16" s="13">
        <f t="shared" ref="H16:H32" si="6">F16-G16</f>
        <v>187806</v>
      </c>
      <c r="J16" s="3" t="s">
        <v>47</v>
      </c>
      <c r="K16" s="3" t="s">
        <v>50</v>
      </c>
      <c r="M16" s="30" t="s">
        <v>55</v>
      </c>
      <c r="N16" s="31"/>
      <c r="O16" s="32"/>
      <c r="P16" s="3" t="s">
        <v>58</v>
      </c>
    </row>
    <row r="17" spans="1:16" x14ac:dyDescent="0.45">
      <c r="A17" s="12">
        <v>102</v>
      </c>
      <c r="B17" s="3" t="str">
        <f t="shared" si="2"/>
        <v>ポケットＡ４ヨコ</v>
      </c>
      <c r="C17" s="3" t="s">
        <v>20</v>
      </c>
      <c r="D17" s="3" t="str">
        <f t="shared" si="3"/>
        <v>下田企画</v>
      </c>
      <c r="E17" s="3">
        <v>398</v>
      </c>
      <c r="F17" s="3">
        <f t="shared" si="4"/>
        <v>306460</v>
      </c>
      <c r="G17" s="3">
        <f t="shared" si="5"/>
        <v>13178</v>
      </c>
      <c r="H17" s="13">
        <f t="shared" si="6"/>
        <v>293282</v>
      </c>
      <c r="J17" s="3" t="s">
        <v>48</v>
      </c>
      <c r="K17" s="3" t="s">
        <v>51</v>
      </c>
      <c r="M17" s="28" t="s">
        <v>56</v>
      </c>
      <c r="N17" s="28"/>
      <c r="O17" s="28"/>
      <c r="P17" s="3" t="s">
        <v>59</v>
      </c>
    </row>
    <row r="18" spans="1:16" x14ac:dyDescent="0.45">
      <c r="A18" s="12">
        <v>102</v>
      </c>
      <c r="B18" s="3" t="str">
        <f t="shared" si="2"/>
        <v>ポケットＡ４ヨコ</v>
      </c>
      <c r="C18" s="3" t="s">
        <v>21</v>
      </c>
      <c r="D18" s="3" t="str">
        <f t="shared" si="3"/>
        <v>ニシカワ</v>
      </c>
      <c r="E18" s="3">
        <v>432</v>
      </c>
      <c r="F18" s="3">
        <f t="shared" si="4"/>
        <v>332640</v>
      </c>
      <c r="G18" s="3">
        <f t="shared" si="5"/>
        <v>11976</v>
      </c>
      <c r="H18" s="13">
        <f t="shared" si="6"/>
        <v>320664</v>
      </c>
      <c r="J18" s="3" t="s">
        <v>49</v>
      </c>
      <c r="K18" s="3" t="s">
        <v>52</v>
      </c>
      <c r="M18" s="20" t="s">
        <v>60</v>
      </c>
      <c r="N18" s="20"/>
      <c r="O18" s="20"/>
      <c r="P18" s="20"/>
    </row>
    <row r="19" spans="1:16" x14ac:dyDescent="0.45">
      <c r="A19" s="12">
        <v>103</v>
      </c>
      <c r="B19" s="3" t="str">
        <f t="shared" si="2"/>
        <v>ポケットＢ５タテ</v>
      </c>
      <c r="C19" s="3" t="s">
        <v>22</v>
      </c>
      <c r="D19" s="3" t="str">
        <f t="shared" si="3"/>
        <v>中村総業</v>
      </c>
      <c r="E19" s="3">
        <v>216</v>
      </c>
      <c r="F19" s="3">
        <f t="shared" si="4"/>
        <v>47520</v>
      </c>
      <c r="G19" s="3">
        <f t="shared" si="5"/>
        <v>2044</v>
      </c>
      <c r="H19" s="13">
        <f t="shared" si="6"/>
        <v>45476</v>
      </c>
    </row>
    <row r="20" spans="1:16" x14ac:dyDescent="0.45">
      <c r="A20" s="12">
        <v>103</v>
      </c>
      <c r="B20" s="3" t="str">
        <f t="shared" si="2"/>
        <v>ポケットＢ５タテ</v>
      </c>
      <c r="C20" s="3" t="s">
        <v>21</v>
      </c>
      <c r="D20" s="3" t="str">
        <f t="shared" si="3"/>
        <v>ニシカワ</v>
      </c>
      <c r="E20" s="3">
        <v>399</v>
      </c>
      <c r="F20" s="3">
        <f t="shared" si="4"/>
        <v>87780</v>
      </c>
      <c r="G20" s="3">
        <f t="shared" si="5"/>
        <v>3161</v>
      </c>
      <c r="H20" s="13">
        <f t="shared" si="6"/>
        <v>84619</v>
      </c>
    </row>
    <row r="21" spans="1:16" x14ac:dyDescent="0.45">
      <c r="A21" s="12">
        <v>201</v>
      </c>
      <c r="B21" s="3" t="str">
        <f t="shared" si="2"/>
        <v>リングＡ４タテ</v>
      </c>
      <c r="C21" s="3" t="s">
        <v>20</v>
      </c>
      <c r="D21" s="3" t="str">
        <f t="shared" si="3"/>
        <v>下田企画</v>
      </c>
      <c r="E21" s="3">
        <v>778</v>
      </c>
      <c r="F21" s="3">
        <f t="shared" si="4"/>
        <v>443460</v>
      </c>
      <c r="G21" s="3">
        <f t="shared" si="5"/>
        <v>19069</v>
      </c>
      <c r="H21" s="13">
        <f t="shared" si="6"/>
        <v>424391</v>
      </c>
    </row>
    <row r="22" spans="1:16" x14ac:dyDescent="0.45">
      <c r="A22" s="12">
        <v>201</v>
      </c>
      <c r="B22" s="3" t="str">
        <f t="shared" si="2"/>
        <v>リングＡ４タテ</v>
      </c>
      <c r="C22" s="3" t="s">
        <v>21</v>
      </c>
      <c r="D22" s="3" t="str">
        <f t="shared" si="3"/>
        <v>ニシカワ</v>
      </c>
      <c r="E22" s="3">
        <v>736</v>
      </c>
      <c r="F22" s="3">
        <f t="shared" si="4"/>
        <v>419520</v>
      </c>
      <c r="G22" s="3">
        <f t="shared" si="5"/>
        <v>15103</v>
      </c>
      <c r="H22" s="13">
        <f t="shared" si="6"/>
        <v>404417</v>
      </c>
    </row>
    <row r="23" spans="1:16" x14ac:dyDescent="0.45">
      <c r="A23" s="12">
        <v>202</v>
      </c>
      <c r="B23" s="3" t="str">
        <f t="shared" si="2"/>
        <v>リングＡ４ヨコ</v>
      </c>
      <c r="C23" s="3" t="s">
        <v>22</v>
      </c>
      <c r="D23" s="3" t="str">
        <f t="shared" si="3"/>
        <v>中村総業</v>
      </c>
      <c r="E23" s="3">
        <v>238</v>
      </c>
      <c r="F23" s="3">
        <f t="shared" si="4"/>
        <v>188020</v>
      </c>
      <c r="G23" s="3">
        <f t="shared" si="5"/>
        <v>8085</v>
      </c>
      <c r="H23" s="13">
        <f t="shared" si="6"/>
        <v>179935</v>
      </c>
    </row>
    <row r="24" spans="1:16" x14ac:dyDescent="0.45">
      <c r="A24" s="12">
        <v>202</v>
      </c>
      <c r="B24" s="3" t="str">
        <f t="shared" si="2"/>
        <v>リングＡ４ヨコ</v>
      </c>
      <c r="C24" s="3" t="s">
        <v>20</v>
      </c>
      <c r="D24" s="3" t="str">
        <f t="shared" si="3"/>
        <v>下田企画</v>
      </c>
      <c r="E24" s="3">
        <v>539</v>
      </c>
      <c r="F24" s="3">
        <f t="shared" si="4"/>
        <v>425810</v>
      </c>
      <c r="G24" s="3">
        <f t="shared" si="5"/>
        <v>18310</v>
      </c>
      <c r="H24" s="13">
        <f t="shared" si="6"/>
        <v>407500</v>
      </c>
    </row>
    <row r="25" spans="1:16" x14ac:dyDescent="0.45">
      <c r="A25" s="12">
        <v>203</v>
      </c>
      <c r="B25" s="3" t="str">
        <f t="shared" si="2"/>
        <v>リングＢ５タテ</v>
      </c>
      <c r="C25" s="3" t="s">
        <v>22</v>
      </c>
      <c r="D25" s="3" t="str">
        <f t="shared" si="3"/>
        <v>中村総業</v>
      </c>
      <c r="E25" s="3">
        <v>394</v>
      </c>
      <c r="F25" s="3">
        <f t="shared" si="4"/>
        <v>130020</v>
      </c>
      <c r="G25" s="3">
        <f t="shared" si="5"/>
        <v>5591</v>
      </c>
      <c r="H25" s="13">
        <f t="shared" si="6"/>
        <v>124429</v>
      </c>
    </row>
    <row r="26" spans="1:16" x14ac:dyDescent="0.45">
      <c r="A26" s="12">
        <v>203</v>
      </c>
      <c r="B26" s="3" t="str">
        <f t="shared" si="2"/>
        <v>リングＢ５タテ</v>
      </c>
      <c r="C26" s="3" t="s">
        <v>20</v>
      </c>
      <c r="D26" s="3" t="str">
        <f t="shared" si="3"/>
        <v>下田企画</v>
      </c>
      <c r="E26" s="3">
        <v>217</v>
      </c>
      <c r="F26" s="3">
        <f t="shared" si="4"/>
        <v>71610</v>
      </c>
      <c r="G26" s="3">
        <f t="shared" si="5"/>
        <v>3080</v>
      </c>
      <c r="H26" s="13">
        <f t="shared" si="6"/>
        <v>68530</v>
      </c>
    </row>
    <row r="27" spans="1:16" x14ac:dyDescent="0.45">
      <c r="A27" s="12">
        <v>301</v>
      </c>
      <c r="B27" s="3" t="str">
        <f t="shared" si="2"/>
        <v>パイプＡ４タテ</v>
      </c>
      <c r="C27" s="3" t="s">
        <v>22</v>
      </c>
      <c r="D27" s="3" t="str">
        <f t="shared" si="3"/>
        <v>中村総業</v>
      </c>
      <c r="E27" s="3">
        <v>795</v>
      </c>
      <c r="F27" s="3">
        <f t="shared" si="4"/>
        <v>628050</v>
      </c>
      <c r="G27" s="3">
        <f t="shared" si="5"/>
        <v>27007</v>
      </c>
      <c r="H27" s="13">
        <f t="shared" si="6"/>
        <v>601043</v>
      </c>
    </row>
    <row r="28" spans="1:16" x14ac:dyDescent="0.45">
      <c r="A28" s="12">
        <v>301</v>
      </c>
      <c r="B28" s="3" t="str">
        <f t="shared" si="2"/>
        <v>パイプＡ４タテ</v>
      </c>
      <c r="C28" s="3" t="s">
        <v>21</v>
      </c>
      <c r="D28" s="3" t="str">
        <f t="shared" si="3"/>
        <v>ニシカワ</v>
      </c>
      <c r="E28" s="3">
        <v>621</v>
      </c>
      <c r="F28" s="3">
        <f t="shared" si="4"/>
        <v>490590</v>
      </c>
      <c r="G28" s="3">
        <f t="shared" si="5"/>
        <v>17662</v>
      </c>
      <c r="H28" s="13">
        <f t="shared" si="6"/>
        <v>472928</v>
      </c>
    </row>
    <row r="29" spans="1:16" x14ac:dyDescent="0.45">
      <c r="A29" s="12">
        <v>302</v>
      </c>
      <c r="B29" s="3" t="str">
        <f t="shared" si="2"/>
        <v>パイプＡ４ヨコ</v>
      </c>
      <c r="C29" s="3" t="s">
        <v>22</v>
      </c>
      <c r="D29" s="3" t="str">
        <f t="shared" si="3"/>
        <v>中村総業</v>
      </c>
      <c r="E29" s="3">
        <v>500</v>
      </c>
      <c r="F29" s="3">
        <f t="shared" si="4"/>
        <v>445000</v>
      </c>
      <c r="G29" s="3">
        <f t="shared" si="5"/>
        <v>19135</v>
      </c>
      <c r="H29" s="13">
        <f t="shared" si="6"/>
        <v>425865</v>
      </c>
    </row>
    <row r="30" spans="1:16" x14ac:dyDescent="0.45">
      <c r="A30" s="12">
        <v>302</v>
      </c>
      <c r="B30" s="3" t="str">
        <f t="shared" si="2"/>
        <v>パイプＡ４ヨコ</v>
      </c>
      <c r="C30" s="3" t="s">
        <v>21</v>
      </c>
      <c r="D30" s="3" t="str">
        <f t="shared" si="3"/>
        <v>ニシカワ</v>
      </c>
      <c r="E30" s="3">
        <v>196</v>
      </c>
      <c r="F30" s="3">
        <f t="shared" si="4"/>
        <v>174440</v>
      </c>
      <c r="G30" s="3">
        <f t="shared" si="5"/>
        <v>6280</v>
      </c>
      <c r="H30" s="13">
        <f t="shared" si="6"/>
        <v>168160</v>
      </c>
    </row>
    <row r="31" spans="1:16" x14ac:dyDescent="0.45">
      <c r="A31" s="12">
        <v>303</v>
      </c>
      <c r="B31" s="3" t="str">
        <f t="shared" si="2"/>
        <v>パイプＢ５タテ</v>
      </c>
      <c r="C31" s="3" t="s">
        <v>22</v>
      </c>
      <c r="D31" s="3" t="str">
        <f t="shared" si="3"/>
        <v>中村総業</v>
      </c>
      <c r="E31" s="3">
        <v>107</v>
      </c>
      <c r="F31" s="3">
        <f t="shared" si="4"/>
        <v>77040</v>
      </c>
      <c r="G31" s="3">
        <f t="shared" si="5"/>
        <v>3313</v>
      </c>
      <c r="H31" s="13">
        <f t="shared" si="6"/>
        <v>73727</v>
      </c>
    </row>
    <row r="32" spans="1:16" x14ac:dyDescent="0.45">
      <c r="A32" s="12">
        <v>303</v>
      </c>
      <c r="B32" s="3" t="str">
        <f t="shared" si="2"/>
        <v>パイプＢ５タテ</v>
      </c>
      <c r="C32" s="3" t="s">
        <v>20</v>
      </c>
      <c r="D32" s="3" t="str">
        <f t="shared" si="3"/>
        <v>下田企画</v>
      </c>
      <c r="E32" s="3">
        <v>431</v>
      </c>
      <c r="F32" s="3">
        <f t="shared" si="4"/>
        <v>310320</v>
      </c>
      <c r="G32" s="3">
        <f t="shared" si="5"/>
        <v>13344</v>
      </c>
      <c r="H32" s="13">
        <f t="shared" si="6"/>
        <v>296976</v>
      </c>
    </row>
    <row r="33" spans="1:8" x14ac:dyDescent="0.45">
      <c r="A33" s="12"/>
      <c r="B33" s="3"/>
      <c r="C33" s="3"/>
      <c r="D33" s="3"/>
      <c r="E33" s="3"/>
      <c r="F33" s="3"/>
      <c r="G33" s="3"/>
      <c r="H33" s="13"/>
    </row>
    <row r="34" spans="1:8" ht="18.600000000000001" thickBot="1" x14ac:dyDescent="0.5">
      <c r="A34" s="33"/>
      <c r="B34" s="34" t="s">
        <v>13</v>
      </c>
      <c r="C34" s="34"/>
      <c r="D34" s="34"/>
      <c r="E34" s="15">
        <f>SUM(E15:E32)</f>
        <v>8254</v>
      </c>
      <c r="F34" s="15">
        <f t="shared" ref="F34:H34" si="7">SUM(F15:F32)</f>
        <v>5219350</v>
      </c>
      <c r="G34" s="15">
        <f t="shared" si="7"/>
        <v>212541</v>
      </c>
      <c r="H34" s="16">
        <f t="shared" si="7"/>
        <v>5006809</v>
      </c>
    </row>
    <row r="36" spans="1:8" ht="18.600000000000001" thickBot="1" x14ac:dyDescent="0.5">
      <c r="A36" s="25" t="s">
        <v>6</v>
      </c>
      <c r="B36" s="25"/>
      <c r="C36" s="25"/>
      <c r="D36" s="25"/>
      <c r="E36" s="25"/>
      <c r="F36" s="25"/>
      <c r="G36" s="25"/>
      <c r="H36" s="25"/>
    </row>
    <row r="37" spans="1:8" x14ac:dyDescent="0.45">
      <c r="A37" s="9" t="s">
        <v>1</v>
      </c>
      <c r="B37" s="10" t="s">
        <v>2</v>
      </c>
      <c r="C37" s="10" t="s">
        <v>7</v>
      </c>
      <c r="D37" s="10" t="s">
        <v>8</v>
      </c>
      <c r="E37" s="10" t="s">
        <v>9</v>
      </c>
      <c r="F37" s="10" t="s">
        <v>10</v>
      </c>
      <c r="G37" s="10" t="s">
        <v>11</v>
      </c>
      <c r="H37" s="11" t="s">
        <v>12</v>
      </c>
    </row>
    <row r="38" spans="1:8" x14ac:dyDescent="0.45">
      <c r="A38" s="12">
        <v>301</v>
      </c>
      <c r="B38" s="3" t="str">
        <f>VLOOKUP(A38,$P$4:$Q$6,2,1)&amp;VLOOKUP(MOD(A38,100),$M$4:$N$6,2,0)</f>
        <v>パイプＡ４タテ</v>
      </c>
      <c r="C38" s="3" t="s">
        <v>22</v>
      </c>
      <c r="D38" s="3" t="str">
        <f>VLOOKUP(C38,$J$16:$K$18,2,0)</f>
        <v>中村総業</v>
      </c>
      <c r="E38" s="3">
        <v>795</v>
      </c>
      <c r="F38" s="3">
        <f>VLOOKUP(A38,$A$3:$E$11,5,0)*E38</f>
        <v>628050</v>
      </c>
      <c r="G38" s="3">
        <f>ROUNDUP(IF(RIGHT(C38,1)="C",F38*3.6%,F38*4.3%),0)</f>
        <v>27007</v>
      </c>
      <c r="H38" s="13">
        <f>F38-G38</f>
        <v>601043</v>
      </c>
    </row>
    <row r="39" spans="1:8" x14ac:dyDescent="0.45">
      <c r="A39" s="12">
        <v>101</v>
      </c>
      <c r="B39" s="3" t="str">
        <f t="shared" ref="B39:B45" si="8">VLOOKUP(A39,$P$4:$Q$6,2,1)&amp;VLOOKUP(MOD(A39,100),$M$4:$N$6,2,0)</f>
        <v>ポケットＡ４タテ</v>
      </c>
      <c r="C39" s="3" t="s">
        <v>20</v>
      </c>
      <c r="D39" s="3" t="str">
        <f>VLOOKUP(C39,$J$16:$K$18,2,0)</f>
        <v>下田企画</v>
      </c>
      <c r="E39" s="3">
        <v>875</v>
      </c>
      <c r="F39" s="3">
        <f>VLOOKUP(A39,$A$3:$E$11,5,0)*E39</f>
        <v>446250</v>
      </c>
      <c r="G39" s="3">
        <f>ROUNDUP(IF(RIGHT(C39,1)="C",F39*3.6%,F39*4.3%),0)</f>
        <v>19189</v>
      </c>
      <c r="H39" s="13">
        <f>F39-G39</f>
        <v>427061</v>
      </c>
    </row>
    <row r="40" spans="1:8" x14ac:dyDescent="0.45">
      <c r="A40" s="12">
        <v>302</v>
      </c>
      <c r="B40" s="3" t="str">
        <f t="shared" si="8"/>
        <v>パイプＡ４ヨコ</v>
      </c>
      <c r="C40" s="3" t="s">
        <v>22</v>
      </c>
      <c r="D40" s="3" t="str">
        <f>VLOOKUP(C40,$J$16:$K$18,2,0)</f>
        <v>中村総業</v>
      </c>
      <c r="E40" s="3">
        <v>500</v>
      </c>
      <c r="F40" s="3">
        <f>VLOOKUP(A40,$A$3:$E$11,5,0)*E40</f>
        <v>445000</v>
      </c>
      <c r="G40" s="3">
        <f>ROUNDUP(IF(RIGHT(C40,1)="C",F40*3.6%,F40*4.3%),0)</f>
        <v>19135</v>
      </c>
      <c r="H40" s="13">
        <f>F40-G40</f>
        <v>425865</v>
      </c>
    </row>
    <row r="41" spans="1:8" x14ac:dyDescent="0.45">
      <c r="A41" s="12">
        <v>201</v>
      </c>
      <c r="B41" s="3" t="str">
        <f t="shared" si="8"/>
        <v>リングＡ４タテ</v>
      </c>
      <c r="C41" s="3" t="s">
        <v>20</v>
      </c>
      <c r="D41" s="3" t="str">
        <f>VLOOKUP(C41,$J$16:$K$18,2,0)</f>
        <v>下田企画</v>
      </c>
      <c r="E41" s="3">
        <v>778</v>
      </c>
      <c r="F41" s="3">
        <f>VLOOKUP(A41,$A$3:$E$11,5,0)*E41</f>
        <v>443460</v>
      </c>
      <c r="G41" s="3">
        <f>ROUNDUP(IF(RIGHT(C41,1)="C",F41*3.6%,F41*4.3%),0)</f>
        <v>19069</v>
      </c>
      <c r="H41" s="13">
        <f>F41-G41</f>
        <v>424391</v>
      </c>
    </row>
    <row r="42" spans="1:8" x14ac:dyDescent="0.45">
      <c r="A42" s="12">
        <v>202</v>
      </c>
      <c r="B42" s="3" t="str">
        <f t="shared" si="8"/>
        <v>リングＡ４ヨコ</v>
      </c>
      <c r="C42" s="3" t="s">
        <v>20</v>
      </c>
      <c r="D42" s="3" t="str">
        <f>VLOOKUP(C42,$J$16:$K$18,2,0)</f>
        <v>下田企画</v>
      </c>
      <c r="E42" s="3">
        <v>539</v>
      </c>
      <c r="F42" s="3">
        <f>VLOOKUP(A42,$A$3:$E$11,5,0)*E42</f>
        <v>425810</v>
      </c>
      <c r="G42" s="3">
        <f>ROUNDUP(IF(RIGHT(C42,1)="C",F42*3.6%,F42*4.3%),0)</f>
        <v>18310</v>
      </c>
      <c r="H42" s="13">
        <f>F42-G42</f>
        <v>407500</v>
      </c>
    </row>
    <row r="43" spans="1:8" x14ac:dyDescent="0.45">
      <c r="A43" s="12">
        <v>301</v>
      </c>
      <c r="B43" s="3" t="str">
        <f t="shared" si="8"/>
        <v>パイプＡ４タテ</v>
      </c>
      <c r="C43" s="3" t="s">
        <v>21</v>
      </c>
      <c r="D43" s="3" t="str">
        <f>VLOOKUP(C43,$J$16:$K$18,2,0)</f>
        <v>ニシカワ</v>
      </c>
      <c r="E43" s="3">
        <v>621</v>
      </c>
      <c r="F43" s="3">
        <f>VLOOKUP(A43,$A$3:$E$11,5,0)*E43</f>
        <v>490590</v>
      </c>
      <c r="G43" s="3">
        <f>ROUNDUP(IF(RIGHT(C43,1)="C",F43*3.6%,F43*4.3%),0)</f>
        <v>17662</v>
      </c>
      <c r="H43" s="13">
        <f>F43-G43</f>
        <v>472928</v>
      </c>
    </row>
    <row r="44" spans="1:8" x14ac:dyDescent="0.45">
      <c r="A44" s="12">
        <v>201</v>
      </c>
      <c r="B44" s="3" t="str">
        <f t="shared" si="8"/>
        <v>リングＡ４タテ</v>
      </c>
      <c r="C44" s="3" t="s">
        <v>21</v>
      </c>
      <c r="D44" s="3" t="str">
        <f>VLOOKUP(C44,$J$16:$K$18,2,0)</f>
        <v>ニシカワ</v>
      </c>
      <c r="E44" s="3">
        <v>736</v>
      </c>
      <c r="F44" s="3">
        <f>VLOOKUP(A44,$A$3:$E$11,5,0)*E44</f>
        <v>419520</v>
      </c>
      <c r="G44" s="3">
        <f>ROUNDUP(IF(RIGHT(C44,1)="C",F44*3.6%,F44*4.3%),0)</f>
        <v>15103</v>
      </c>
      <c r="H44" s="13">
        <f>F44-G44</f>
        <v>404417</v>
      </c>
    </row>
    <row r="45" spans="1:8" x14ac:dyDescent="0.45">
      <c r="A45" s="12">
        <v>101</v>
      </c>
      <c r="B45" s="3" t="str">
        <f t="shared" si="8"/>
        <v>ポケットＡ４タテ</v>
      </c>
      <c r="C45" s="3" t="s">
        <v>21</v>
      </c>
      <c r="D45" s="3" t="str">
        <f>VLOOKUP(C45,$J$16:$K$18,2,0)</f>
        <v>ニシカワ</v>
      </c>
      <c r="E45" s="3">
        <v>382</v>
      </c>
      <c r="F45" s="3">
        <f>VLOOKUP(A45,$A$3:$E$11,5,0)*E45</f>
        <v>194820</v>
      </c>
      <c r="G45" s="3">
        <f>ROUNDUP(IF(RIGHT(C45,1)="C",F45*3.6%,F45*4.3%),0)</f>
        <v>7014</v>
      </c>
      <c r="H45" s="13">
        <f>F45-G45</f>
        <v>187806</v>
      </c>
    </row>
    <row r="46" spans="1:8" x14ac:dyDescent="0.45">
      <c r="A46" s="12"/>
      <c r="B46" s="3"/>
      <c r="C46" s="3"/>
      <c r="D46" s="3"/>
      <c r="E46" s="3"/>
      <c r="F46" s="3"/>
      <c r="G46" s="3"/>
      <c r="H46" s="13"/>
    </row>
    <row r="47" spans="1:8" ht="18.600000000000001" thickBot="1" x14ac:dyDescent="0.5">
      <c r="A47" s="33"/>
      <c r="B47" s="34" t="s">
        <v>13</v>
      </c>
      <c r="C47" s="34"/>
      <c r="D47" s="34"/>
      <c r="E47" s="15">
        <f>SUM(E38:E45)</f>
        <v>5226</v>
      </c>
      <c r="F47" s="15">
        <f>SUM(F38:F45)</f>
        <v>3493500</v>
      </c>
      <c r="G47" s="15">
        <f>SUM(G38:G45)</f>
        <v>142489</v>
      </c>
      <c r="H47" s="16">
        <f>SUM(H38:H45)</f>
        <v>3351011</v>
      </c>
    </row>
    <row r="48" spans="1:8" x14ac:dyDescent="0.45">
      <c r="A48" s="35"/>
      <c r="B48" s="35"/>
      <c r="C48" s="35"/>
      <c r="D48" s="35"/>
      <c r="E48" s="36"/>
      <c r="F48" s="36"/>
      <c r="G48" s="36"/>
      <c r="H48" s="36"/>
    </row>
    <row r="49" spans="1:9" ht="18.600000000000001" thickBot="1" x14ac:dyDescent="0.5">
      <c r="A49" s="39" t="s">
        <v>14</v>
      </c>
      <c r="B49" s="39"/>
      <c r="C49" s="39"/>
      <c r="D49" s="39"/>
      <c r="E49" s="39"/>
    </row>
    <row r="50" spans="1:9" x14ac:dyDescent="0.45">
      <c r="A50" s="9" t="s">
        <v>8</v>
      </c>
      <c r="B50" s="10" t="s">
        <v>9</v>
      </c>
      <c r="C50" s="10" t="s">
        <v>65</v>
      </c>
      <c r="D50" s="10" t="s">
        <v>15</v>
      </c>
      <c r="E50" s="11" t="s">
        <v>16</v>
      </c>
      <c r="G50" s="6" t="s">
        <v>62</v>
      </c>
      <c r="H50" s="6" t="s">
        <v>62</v>
      </c>
      <c r="I50" s="6" t="s">
        <v>62</v>
      </c>
    </row>
    <row r="51" spans="1:9" x14ac:dyDescent="0.45">
      <c r="A51" s="12" t="s">
        <v>18</v>
      </c>
      <c r="B51" s="3">
        <f>DSUM($A$14:$H$32,5,$H$50:$H$51)</f>
        <v>3238</v>
      </c>
      <c r="C51" s="3">
        <f>DSUM($A$14:$H$32,7,$H$50:$H$51)</f>
        <v>86170</v>
      </c>
      <c r="D51" s="3">
        <f>DSUM($A$14:$H$32,8,$H$50:$H$51)</f>
        <v>1917740</v>
      </c>
      <c r="E51" s="37">
        <f>D51/SUM($D$51:$D$53)</f>
        <v>0.38302639465575777</v>
      </c>
      <c r="G51" s="6" t="s">
        <v>61</v>
      </c>
      <c r="H51" s="6" t="s">
        <v>63</v>
      </c>
      <c r="I51" s="6" t="s">
        <v>64</v>
      </c>
    </row>
    <row r="52" spans="1:9" x14ac:dyDescent="0.45">
      <c r="A52" s="12" t="s">
        <v>17</v>
      </c>
      <c r="B52" s="3">
        <f>DSUM($A$14:$H$32,5,$G$50:$G$51)</f>
        <v>2250</v>
      </c>
      <c r="C52" s="3">
        <f>DSUM($A$14:$H$32,7,$G$50:$G$51)</f>
        <v>65175</v>
      </c>
      <c r="D52" s="3">
        <f>DSUM($A$14:$H$32,8,$G$50:$G$51)</f>
        <v>1450475</v>
      </c>
      <c r="E52" s="37">
        <f>D52/SUM($D$51:$D$53)</f>
        <v>0.28970048587833092</v>
      </c>
    </row>
    <row r="53" spans="1:9" ht="18.600000000000001" thickBot="1" x14ac:dyDescent="0.5">
      <c r="A53" s="14" t="s">
        <v>19</v>
      </c>
      <c r="B53" s="15">
        <f>DSUM($A$14:$H$32,5,$I$50:$I$51)</f>
        <v>2766</v>
      </c>
      <c r="C53" s="15">
        <f>DSUM($A$14:$H$32,7,$I$50:$I$51)</f>
        <v>61196</v>
      </c>
      <c r="D53" s="15">
        <f>DSUM($A$14:$H$32,8,$I$50:$I$51)</f>
        <v>1638594</v>
      </c>
      <c r="E53" s="38">
        <f>D53/SUM($D$51:$D$53)</f>
        <v>0.32727311946591131</v>
      </c>
    </row>
    <row r="54" spans="1:9" x14ac:dyDescent="0.45">
      <c r="A54" s="1" t="s">
        <v>66</v>
      </c>
    </row>
    <row r="55" spans="1:9" ht="18.600000000000001" thickBot="1" x14ac:dyDescent="0.5">
      <c r="A55" s="39" t="s">
        <v>14</v>
      </c>
      <c r="B55" s="39"/>
      <c r="C55" s="39"/>
      <c r="D55" s="39"/>
      <c r="E55" s="39"/>
    </row>
    <row r="56" spans="1:9" x14ac:dyDescent="0.45">
      <c r="A56" s="9" t="s">
        <v>8</v>
      </c>
      <c r="B56" s="10" t="s">
        <v>9</v>
      </c>
      <c r="C56" s="10" t="s">
        <v>65</v>
      </c>
      <c r="D56" s="10" t="s">
        <v>15</v>
      </c>
      <c r="E56" s="11" t="s">
        <v>16</v>
      </c>
      <c r="G56" s="40" t="s">
        <v>67</v>
      </c>
      <c r="H56" s="40"/>
      <c r="I56" s="40"/>
    </row>
    <row r="57" spans="1:9" x14ac:dyDescent="0.45">
      <c r="A57" s="12" t="s">
        <v>18</v>
      </c>
      <c r="B57" s="3">
        <f>SUMIF($D$15:$D$32,$A57,$E$15:$E$32)</f>
        <v>3238</v>
      </c>
      <c r="C57" s="3">
        <f>SUMIF($D$15:$D$32,$A57,$G$15:$G$32)</f>
        <v>86170</v>
      </c>
      <c r="D57" s="3">
        <f>SUMIF($D$15:$D$32,$A57,$H$15:$H$32)</f>
        <v>1917740</v>
      </c>
      <c r="E57" s="37"/>
      <c r="G57" s="40"/>
      <c r="H57" s="40"/>
      <c r="I57" s="40"/>
    </row>
    <row r="58" spans="1:9" x14ac:dyDescent="0.45">
      <c r="A58" s="12" t="s">
        <v>17</v>
      </c>
      <c r="B58" s="3">
        <f t="shared" ref="B58:B59" si="9">SUMIF($D$15:$D$32,$A58,$E$15:$E$32)</f>
        <v>2250</v>
      </c>
      <c r="C58" s="3">
        <f t="shared" ref="C58:C59" si="10">SUMIF($D$15:$D$32,$A58,$G$15:$G$32)</f>
        <v>65175</v>
      </c>
      <c r="D58" s="3">
        <f t="shared" ref="D58:D59" si="11">SUMIF($D$15:$D$32,$A58,$H$15:$H$32)</f>
        <v>1450475</v>
      </c>
      <c r="E58" s="37"/>
    </row>
    <row r="59" spans="1:9" ht="18.600000000000001" thickBot="1" x14ac:dyDescent="0.5">
      <c r="A59" s="14" t="s">
        <v>19</v>
      </c>
      <c r="B59" s="15">
        <f t="shared" si="9"/>
        <v>2766</v>
      </c>
      <c r="C59" s="15">
        <f t="shared" si="10"/>
        <v>61196</v>
      </c>
      <c r="D59" s="15">
        <f t="shared" si="11"/>
        <v>1638594</v>
      </c>
      <c r="E59" s="38"/>
    </row>
  </sheetData>
  <sortState xmlns:xlrd2="http://schemas.microsoft.com/office/spreadsheetml/2017/richdata2" ref="A51:E53">
    <sortCondition descending="1" ref="C51:C53"/>
  </sortState>
  <mergeCells count="25">
    <mergeCell ref="A55:E55"/>
    <mergeCell ref="G56:I57"/>
    <mergeCell ref="A1:E1"/>
    <mergeCell ref="A13:H13"/>
    <mergeCell ref="J2:K2"/>
    <mergeCell ref="M2:N2"/>
    <mergeCell ref="J11:L11"/>
    <mergeCell ref="J12:L12"/>
    <mergeCell ref="J9:L10"/>
    <mergeCell ref="M9:O9"/>
    <mergeCell ref="J8:O8"/>
    <mergeCell ref="J14:K14"/>
    <mergeCell ref="M16:O16"/>
    <mergeCell ref="M17:O17"/>
    <mergeCell ref="M14:P14"/>
    <mergeCell ref="A36:H36"/>
    <mergeCell ref="A49:E49"/>
    <mergeCell ref="M15:O15"/>
    <mergeCell ref="M18:P18"/>
    <mergeCell ref="P2:Q2"/>
    <mergeCell ref="Q9:S10"/>
    <mergeCell ref="T9:V9"/>
    <mergeCell ref="Q11:S11"/>
    <mergeCell ref="Q12:S12"/>
    <mergeCell ref="Q8:V8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2020-05-08T01:50:26Z</dcterms:created>
  <dcterms:modified xsi:type="dcterms:W3CDTF">2020-05-11T23:19:35Z</dcterms:modified>
</cp:coreProperties>
</file>