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erk\Documents\D\ホームページビルダー\kentei\"/>
    </mc:Choice>
  </mc:AlternateContent>
  <xr:revisionPtr revIDLastSave="0" documentId="13_ncr:1_{996C0B6C-A6DF-4841-8ABE-B0A8E3AAE923}" xr6:coauthVersionLast="45" xr6:coauthVersionMax="45" xr10:uidLastSave="{00000000-0000-0000-0000-000000000000}"/>
  <bookViews>
    <workbookView xWindow="-108" yWindow="-108" windowWidth="23256" windowHeight="12576" xr2:uid="{450D2973-C2AF-4ACB-A429-F1383E7D98F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1" l="1"/>
  <c r="F30" i="1" l="1"/>
  <c r="G25" i="1"/>
  <c r="E25" i="1"/>
  <c r="H25" i="1" s="1"/>
  <c r="I25" i="1" s="1"/>
  <c r="K25" i="1" s="1"/>
  <c r="D25" i="1"/>
  <c r="B25" i="1"/>
  <c r="G27" i="1"/>
  <c r="E27" i="1"/>
  <c r="H27" i="1" s="1"/>
  <c r="I27" i="1" s="1"/>
  <c r="K27" i="1" s="1"/>
  <c r="D27" i="1"/>
  <c r="B27" i="1"/>
  <c r="G28" i="1"/>
  <c r="E28" i="1"/>
  <c r="H28" i="1" s="1"/>
  <c r="I28" i="1" s="1"/>
  <c r="K28" i="1" s="1"/>
  <c r="D28" i="1"/>
  <c r="B28" i="1"/>
  <c r="G24" i="1"/>
  <c r="E24" i="1"/>
  <c r="H24" i="1" s="1"/>
  <c r="I24" i="1" s="1"/>
  <c r="K24" i="1" s="1"/>
  <c r="D24" i="1"/>
  <c r="B24" i="1"/>
  <c r="G26" i="1"/>
  <c r="E26" i="1"/>
  <c r="H26" i="1" s="1"/>
  <c r="I26" i="1" s="1"/>
  <c r="K26" i="1" s="1"/>
  <c r="D26" i="1"/>
  <c r="B26" i="1"/>
  <c r="H44" i="1"/>
  <c r="H40" i="1"/>
  <c r="G30" i="1" l="1"/>
  <c r="H30" i="1"/>
  <c r="J28" i="1"/>
  <c r="J26" i="1"/>
  <c r="J24" i="1"/>
  <c r="J27" i="1"/>
  <c r="J25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3" i="1"/>
  <c r="E4" i="1"/>
  <c r="H4" i="1" s="1"/>
  <c r="I4" i="1" s="1"/>
  <c r="K4" i="1" s="1"/>
  <c r="E5" i="1"/>
  <c r="H5" i="1" s="1"/>
  <c r="I5" i="1" s="1"/>
  <c r="K5" i="1" s="1"/>
  <c r="E6" i="1"/>
  <c r="H6" i="1" s="1"/>
  <c r="E7" i="1"/>
  <c r="H7" i="1" s="1"/>
  <c r="I7" i="1" s="1"/>
  <c r="K7" i="1" s="1"/>
  <c r="E8" i="1"/>
  <c r="H8" i="1" s="1"/>
  <c r="I8" i="1" s="1"/>
  <c r="K8" i="1" s="1"/>
  <c r="E9" i="1"/>
  <c r="H9" i="1" s="1"/>
  <c r="I9" i="1" s="1"/>
  <c r="K9" i="1" s="1"/>
  <c r="E10" i="1"/>
  <c r="H10" i="1" s="1"/>
  <c r="I10" i="1" s="1"/>
  <c r="K10" i="1" s="1"/>
  <c r="E11" i="1"/>
  <c r="H11" i="1" s="1"/>
  <c r="I11" i="1" s="1"/>
  <c r="K11" i="1" s="1"/>
  <c r="E12" i="1"/>
  <c r="H12" i="1" s="1"/>
  <c r="I12" i="1" s="1"/>
  <c r="K12" i="1" s="1"/>
  <c r="E13" i="1"/>
  <c r="H13" i="1" s="1"/>
  <c r="I13" i="1" s="1"/>
  <c r="K13" i="1" s="1"/>
  <c r="E14" i="1"/>
  <c r="H14" i="1" s="1"/>
  <c r="I14" i="1" s="1"/>
  <c r="K14" i="1" s="1"/>
  <c r="E15" i="1"/>
  <c r="H15" i="1" s="1"/>
  <c r="I15" i="1" s="1"/>
  <c r="K15" i="1" s="1"/>
  <c r="E16" i="1"/>
  <c r="H16" i="1" s="1"/>
  <c r="I16" i="1" s="1"/>
  <c r="K16" i="1" s="1"/>
  <c r="E17" i="1"/>
  <c r="H17" i="1" s="1"/>
  <c r="I17" i="1" s="1"/>
  <c r="K17" i="1" s="1"/>
  <c r="E18" i="1"/>
  <c r="H18" i="1" s="1"/>
  <c r="I18" i="1" s="1"/>
  <c r="K18" i="1" s="1"/>
  <c r="E3" i="1"/>
  <c r="H3" i="1" s="1"/>
  <c r="I3" i="1" s="1"/>
  <c r="K3" i="1" s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3" i="1"/>
  <c r="F20" i="1"/>
  <c r="J30" i="1" l="1"/>
  <c r="I30" i="1"/>
  <c r="H46" i="1"/>
  <c r="G37" i="1"/>
  <c r="F38" i="1"/>
  <c r="C36" i="1"/>
  <c r="F35" i="1"/>
  <c r="C35" i="1"/>
  <c r="B38" i="1"/>
  <c r="B36" i="1"/>
  <c r="H42" i="1"/>
  <c r="G35" i="1"/>
  <c r="B35" i="1"/>
  <c r="B37" i="1"/>
  <c r="G36" i="1"/>
  <c r="F36" i="1"/>
  <c r="C37" i="1"/>
  <c r="F37" i="1"/>
  <c r="J11" i="1"/>
  <c r="J18" i="1"/>
  <c r="J10" i="1"/>
  <c r="J17" i="1"/>
  <c r="J9" i="1"/>
  <c r="J16" i="1"/>
  <c r="J8" i="1"/>
  <c r="J15" i="1"/>
  <c r="J7" i="1"/>
  <c r="D35" i="1" s="1"/>
  <c r="H20" i="1"/>
  <c r="I6" i="1"/>
  <c r="K6" i="1" s="1"/>
  <c r="J14" i="1"/>
  <c r="J13" i="1"/>
  <c r="J5" i="1"/>
  <c r="D37" i="1" s="1"/>
  <c r="J12" i="1"/>
  <c r="J4" i="1"/>
  <c r="D36" i="1" s="1"/>
  <c r="G20" i="1"/>
  <c r="J3" i="1"/>
  <c r="H35" i="1" s="1"/>
  <c r="I20" i="1"/>
  <c r="H36" i="1" l="1"/>
  <c r="C38" i="1"/>
  <c r="H37" i="1"/>
  <c r="G38" i="1"/>
  <c r="H41" i="1"/>
  <c r="J6" i="1"/>
  <c r="J20" i="1"/>
  <c r="D38" i="1" l="1"/>
  <c r="H38" i="1"/>
</calcChain>
</file>

<file path=xl/sharedStrings.xml><?xml version="1.0" encoding="utf-8"?>
<sst xmlns="http://schemas.openxmlformats.org/spreadsheetml/2006/main" count="135" uniqueCount="68">
  <si>
    <t>外CO</t>
    <rPh sb="0" eb="1">
      <t>ガイ</t>
    </rPh>
    <phoneticPr fontId="1"/>
  </si>
  <si>
    <t>外注先支払一覧表</t>
    <rPh sb="0" eb="3">
      <t>ガイチュウサキ</t>
    </rPh>
    <rPh sb="3" eb="5">
      <t>シハライ</t>
    </rPh>
    <rPh sb="5" eb="8">
      <t>イチランヒョウ</t>
    </rPh>
    <phoneticPr fontId="1"/>
  </si>
  <si>
    <t>外注先名</t>
    <rPh sb="0" eb="3">
      <t>ガイチュウサキ</t>
    </rPh>
    <rPh sb="3" eb="4">
      <t>メイ</t>
    </rPh>
    <phoneticPr fontId="1"/>
  </si>
  <si>
    <t>部CO</t>
    <rPh sb="0" eb="1">
      <t>ブ</t>
    </rPh>
    <phoneticPr fontId="1"/>
  </si>
  <si>
    <t>部品名</t>
    <rPh sb="0" eb="2">
      <t>ブヒン</t>
    </rPh>
    <rPh sb="2" eb="3">
      <t>メイ</t>
    </rPh>
    <phoneticPr fontId="1"/>
  </si>
  <si>
    <t>加工単価</t>
    <rPh sb="0" eb="2">
      <t>カコウ</t>
    </rPh>
    <rPh sb="2" eb="4">
      <t>タンカ</t>
    </rPh>
    <phoneticPr fontId="1"/>
  </si>
  <si>
    <t>納品数</t>
    <rPh sb="0" eb="3">
      <t>ノウヒンスウ</t>
    </rPh>
    <phoneticPr fontId="1"/>
  </si>
  <si>
    <t>材料費</t>
    <rPh sb="0" eb="3">
      <t>ザイリョウヒ</t>
    </rPh>
    <phoneticPr fontId="1"/>
  </si>
  <si>
    <t>加工費</t>
    <rPh sb="0" eb="2">
      <t>カコウ</t>
    </rPh>
    <rPh sb="2" eb="3">
      <t>ヒ</t>
    </rPh>
    <phoneticPr fontId="1"/>
  </si>
  <si>
    <t>諸経費</t>
    <rPh sb="0" eb="3">
      <t>ショケイヒ</t>
    </rPh>
    <phoneticPr fontId="1"/>
  </si>
  <si>
    <t>総支払額</t>
    <rPh sb="0" eb="1">
      <t>ソウ</t>
    </rPh>
    <rPh sb="1" eb="3">
      <t>シハライ</t>
    </rPh>
    <rPh sb="3" eb="4">
      <t>ガク</t>
    </rPh>
    <phoneticPr fontId="1"/>
  </si>
  <si>
    <t>評価</t>
    <rPh sb="0" eb="2">
      <t>ヒョウカ</t>
    </rPh>
    <phoneticPr fontId="1"/>
  </si>
  <si>
    <t>合計</t>
    <rPh sb="0" eb="2">
      <t>ゴウケイ</t>
    </rPh>
    <phoneticPr fontId="1"/>
  </si>
  <si>
    <t>部品別集計表</t>
    <rPh sb="0" eb="2">
      <t>ブヒン</t>
    </rPh>
    <rPh sb="2" eb="3">
      <t>ベツ</t>
    </rPh>
    <rPh sb="3" eb="5">
      <t>シュウケイ</t>
    </rPh>
    <rPh sb="5" eb="6">
      <t>ヒョウ</t>
    </rPh>
    <phoneticPr fontId="1"/>
  </si>
  <si>
    <t>部品A</t>
    <rPh sb="0" eb="2">
      <t>ブヒン</t>
    </rPh>
    <phoneticPr fontId="1"/>
  </si>
  <si>
    <t>部品B</t>
    <rPh sb="0" eb="2">
      <t>ブヒン</t>
    </rPh>
    <phoneticPr fontId="1"/>
  </si>
  <si>
    <t>部品C</t>
    <rPh sb="0" eb="2">
      <t>ブヒン</t>
    </rPh>
    <phoneticPr fontId="1"/>
  </si>
  <si>
    <t>部品D</t>
    <rPh sb="0" eb="2">
      <t>ブヒン</t>
    </rPh>
    <phoneticPr fontId="1"/>
  </si>
  <si>
    <t>納品数が1,500以上2,700未満の件数</t>
    <rPh sb="0" eb="3">
      <t>ノウヒンスウ</t>
    </rPh>
    <rPh sb="9" eb="11">
      <t>イジョウ</t>
    </rPh>
    <rPh sb="16" eb="18">
      <t>ミマン</t>
    </rPh>
    <rPh sb="19" eb="21">
      <t>ケンスウ</t>
    </rPh>
    <phoneticPr fontId="1"/>
  </si>
  <si>
    <t>外注先名が森テックまたは加工費が100万円以下の諸経費の合計</t>
    <rPh sb="0" eb="3">
      <t>ガイチュウサキ</t>
    </rPh>
    <rPh sb="3" eb="4">
      <t>メイ</t>
    </rPh>
    <rPh sb="5" eb="6">
      <t>モリ</t>
    </rPh>
    <rPh sb="12" eb="14">
      <t>カコウ</t>
    </rPh>
    <rPh sb="14" eb="15">
      <t>ヒ</t>
    </rPh>
    <rPh sb="19" eb="20">
      <t>マン</t>
    </rPh>
    <rPh sb="20" eb="21">
      <t>エン</t>
    </rPh>
    <rPh sb="21" eb="23">
      <t>イカ</t>
    </rPh>
    <rPh sb="24" eb="27">
      <t>ショケイヒ</t>
    </rPh>
    <rPh sb="28" eb="30">
      <t>ゴウケイ</t>
    </rPh>
    <phoneticPr fontId="1"/>
  </si>
  <si>
    <t>部品B以外の加工費の平均</t>
    <rPh sb="0" eb="2">
      <t>ブヒン</t>
    </rPh>
    <rPh sb="3" eb="5">
      <t>イガイ</t>
    </rPh>
    <rPh sb="6" eb="9">
      <t>カコウヒ</t>
    </rPh>
    <rPh sb="10" eb="12">
      <t>ヘイキン</t>
    </rPh>
    <phoneticPr fontId="1"/>
  </si>
  <si>
    <t>外注先テーブル</t>
    <rPh sb="0" eb="2">
      <t>ガイチュウ</t>
    </rPh>
    <rPh sb="2" eb="3">
      <t>サキ</t>
    </rPh>
    <phoneticPr fontId="1"/>
  </si>
  <si>
    <t>加工単価テーブル</t>
    <rPh sb="0" eb="2">
      <t>カコウ</t>
    </rPh>
    <rPh sb="2" eb="4">
      <t>タンカ</t>
    </rPh>
    <phoneticPr fontId="1"/>
  </si>
  <si>
    <t>材料単価</t>
    <rPh sb="0" eb="2">
      <t>ザイリョウ</t>
    </rPh>
    <rPh sb="2" eb="4">
      <t>タンカ</t>
    </rPh>
    <phoneticPr fontId="1"/>
  </si>
  <si>
    <t>区分</t>
    <rPh sb="0" eb="2">
      <t>クブン</t>
    </rPh>
    <phoneticPr fontId="1"/>
  </si>
  <si>
    <t>内平製作</t>
    <rPh sb="0" eb="2">
      <t>ウチヒラ</t>
    </rPh>
    <rPh sb="2" eb="4">
      <t>セイサク</t>
    </rPh>
    <phoneticPr fontId="1"/>
  </si>
  <si>
    <t>森テック</t>
    <rPh sb="0" eb="1">
      <t>モリ</t>
    </rPh>
    <phoneticPr fontId="1"/>
  </si>
  <si>
    <t>ＡＢＥ</t>
    <phoneticPr fontId="1"/>
  </si>
  <si>
    <t>川田企画</t>
    <rPh sb="0" eb="2">
      <t>カワタ</t>
    </rPh>
    <rPh sb="2" eb="4">
      <t>キカク</t>
    </rPh>
    <phoneticPr fontId="1"/>
  </si>
  <si>
    <t>11X</t>
    <phoneticPr fontId="1"/>
  </si>
  <si>
    <t>12Y</t>
    <phoneticPr fontId="1"/>
  </si>
  <si>
    <t>13Z</t>
    <phoneticPr fontId="1"/>
  </si>
  <si>
    <t>14Y</t>
    <phoneticPr fontId="1"/>
  </si>
  <si>
    <t>X</t>
    <phoneticPr fontId="1"/>
  </si>
  <si>
    <t>Y</t>
    <phoneticPr fontId="1"/>
  </si>
  <si>
    <t>Z</t>
    <phoneticPr fontId="1"/>
  </si>
  <si>
    <t>諸経費の計算式</t>
    <rPh sb="0" eb="3">
      <t>ショケイヒ</t>
    </rPh>
    <rPh sb="4" eb="7">
      <t>ケイサンシキ</t>
    </rPh>
    <phoneticPr fontId="1"/>
  </si>
  <si>
    <t>加工費</t>
    <rPh sb="0" eb="3">
      <t>カコウヒ</t>
    </rPh>
    <phoneticPr fontId="1"/>
  </si>
  <si>
    <t>100万以下</t>
    <rPh sb="3" eb="6">
      <t>マンイカ</t>
    </rPh>
    <phoneticPr fontId="1"/>
  </si>
  <si>
    <t>それ以外</t>
    <rPh sb="2" eb="4">
      <t>イガイ</t>
    </rPh>
    <phoneticPr fontId="1"/>
  </si>
  <si>
    <t>加工費×0.32</t>
    <rPh sb="0" eb="3">
      <t>カコウヒ</t>
    </rPh>
    <phoneticPr fontId="1"/>
  </si>
  <si>
    <t>加工費×0.41</t>
    <rPh sb="0" eb="3">
      <t>カコウヒ</t>
    </rPh>
    <phoneticPr fontId="1"/>
  </si>
  <si>
    <t>※諸経費は10位未満切り上げ</t>
    <rPh sb="1" eb="4">
      <t>ショケイヒ</t>
    </rPh>
    <rPh sb="7" eb="11">
      <t>イミマンキ</t>
    </rPh>
    <rPh sb="12" eb="13">
      <t>ア</t>
    </rPh>
    <phoneticPr fontId="1"/>
  </si>
  <si>
    <t>評価表</t>
    <rPh sb="0" eb="2">
      <t>ヒョウカ</t>
    </rPh>
    <rPh sb="2" eb="3">
      <t>ヒョウ</t>
    </rPh>
    <phoneticPr fontId="1"/>
  </si>
  <si>
    <t>2,800以下　かつ　40万以上</t>
    <rPh sb="5" eb="7">
      <t>イカ</t>
    </rPh>
    <rPh sb="13" eb="16">
      <t>マンイジョウ</t>
    </rPh>
    <phoneticPr fontId="1"/>
  </si>
  <si>
    <t>2,800以下　かつ　20万以上　40万未満</t>
    <rPh sb="5" eb="7">
      <t>イカ</t>
    </rPh>
    <rPh sb="13" eb="16">
      <t>マンイジョウ</t>
    </rPh>
    <rPh sb="19" eb="20">
      <t>マン</t>
    </rPh>
    <rPh sb="20" eb="22">
      <t>ミマン</t>
    </rPh>
    <phoneticPr fontId="1"/>
  </si>
  <si>
    <t>　納品数　　　　　　　諸経費</t>
    <rPh sb="1" eb="4">
      <t>ノウヒンスウ</t>
    </rPh>
    <rPh sb="11" eb="14">
      <t>ショケイヒ</t>
    </rPh>
    <phoneticPr fontId="1"/>
  </si>
  <si>
    <t>*</t>
    <phoneticPr fontId="1"/>
  </si>
  <si>
    <t>**</t>
    <phoneticPr fontId="1"/>
  </si>
  <si>
    <t>***</t>
    <phoneticPr fontId="1"/>
  </si>
  <si>
    <t>部品名</t>
    <rPh sb="0" eb="2">
      <t>ブヒン</t>
    </rPh>
    <rPh sb="2" eb="3">
      <t>メイ</t>
    </rPh>
    <phoneticPr fontId="1"/>
  </si>
  <si>
    <t>部品A</t>
    <phoneticPr fontId="1"/>
  </si>
  <si>
    <t>部品B</t>
    <phoneticPr fontId="1"/>
  </si>
  <si>
    <t>部品C</t>
    <phoneticPr fontId="1"/>
  </si>
  <si>
    <t>部品D</t>
    <phoneticPr fontId="1"/>
  </si>
  <si>
    <t>別解答</t>
    <rPh sb="0" eb="1">
      <t>ベツ</t>
    </rPh>
    <rPh sb="1" eb="3">
      <t>カイトウ</t>
    </rPh>
    <phoneticPr fontId="1"/>
  </si>
  <si>
    <t>商品別集計表</t>
    <rPh sb="0" eb="2">
      <t>ショウヒン</t>
    </rPh>
    <rPh sb="2" eb="3">
      <t>ベツ</t>
    </rPh>
    <rPh sb="3" eb="5">
      <t>シュウケイ</t>
    </rPh>
    <rPh sb="5" eb="6">
      <t>ヒョウ</t>
    </rPh>
    <phoneticPr fontId="1"/>
  </si>
  <si>
    <t>本解答はDSUMを、別解答はSUMIFを使用しています。</t>
    <rPh sb="0" eb="3">
      <t>ホンカイトウ</t>
    </rPh>
    <rPh sb="10" eb="11">
      <t>ベツ</t>
    </rPh>
    <rPh sb="11" eb="13">
      <t>カイトウ</t>
    </rPh>
    <rPh sb="20" eb="22">
      <t>シヨウ</t>
    </rPh>
    <phoneticPr fontId="1"/>
  </si>
  <si>
    <t>納品数</t>
    <rPh sb="0" eb="3">
      <t>ノウヒンスウ</t>
    </rPh>
    <phoneticPr fontId="1"/>
  </si>
  <si>
    <t>&gt;=1500</t>
    <phoneticPr fontId="1"/>
  </si>
  <si>
    <t>&lt;2700</t>
    <phoneticPr fontId="1"/>
  </si>
  <si>
    <t>加工費</t>
    <rPh sb="0" eb="3">
      <t>カコウヒ</t>
    </rPh>
    <phoneticPr fontId="1"/>
  </si>
  <si>
    <t>外注先名</t>
    <rPh sb="0" eb="3">
      <t>ガイチュウサキ</t>
    </rPh>
    <rPh sb="3" eb="4">
      <t>メイ</t>
    </rPh>
    <phoneticPr fontId="1"/>
  </si>
  <si>
    <t>&lt;=1000000</t>
    <phoneticPr fontId="1"/>
  </si>
  <si>
    <t>森テック</t>
    <rPh sb="0" eb="1">
      <t>モリ</t>
    </rPh>
    <phoneticPr fontId="1"/>
  </si>
  <si>
    <t>&lt;&gt;部品B</t>
    <rPh sb="2" eb="4">
      <t>ブヒン</t>
    </rPh>
    <phoneticPr fontId="1"/>
  </si>
  <si>
    <t>外注先支払一覧表（納品数2,000以下・諸経費20万円以上）</t>
    <rPh sb="0" eb="3">
      <t>ガイチュウサキ</t>
    </rPh>
    <rPh sb="3" eb="5">
      <t>シハライ</t>
    </rPh>
    <rPh sb="5" eb="8">
      <t>イチランヒョウ</t>
    </rPh>
    <rPh sb="9" eb="12">
      <t>ノウヒンスウ</t>
    </rPh>
    <rPh sb="17" eb="19">
      <t>イカ</t>
    </rPh>
    <rPh sb="20" eb="23">
      <t>ショケイヒ</t>
    </rPh>
    <rPh sb="25" eb="26">
      <t>マン</t>
    </rPh>
    <rPh sb="26" eb="27">
      <t>エン</t>
    </rPh>
    <rPh sb="27" eb="29">
      <t>イジョウ</t>
    </rPh>
    <phoneticPr fontId="1"/>
  </si>
  <si>
    <t>本解答はDSUM、DCOUNT、DAVERAGEを使用しています。別解答はCOUNTIFS、SUMIF・SUMIFS、AVERAGEIFを使用しています。</t>
    <rPh sb="0" eb="1">
      <t>ホン</t>
    </rPh>
    <rPh sb="1" eb="3">
      <t>カイトウ</t>
    </rPh>
    <rPh sb="25" eb="27">
      <t>シヨウ</t>
    </rPh>
    <rPh sb="33" eb="34">
      <t>ベツ</t>
    </rPh>
    <rPh sb="34" eb="36">
      <t>カイトウ</t>
    </rPh>
    <rPh sb="69" eb="71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</si>
</sst>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 applyAlignment="1">
      <alignment horizontal="center" vertical="center"/>
    </xf>
    <xf numFmtId="176" fontId="0" fillId="2" borderId="1" xfId="0" applyNumberFormat="1" applyFill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2" borderId="14" xfId="0" applyNumberFormat="1" applyFill="1" applyBorder="1">
      <alignment vertical="center"/>
    </xf>
    <xf numFmtId="176" fontId="0" fillId="0" borderId="0" xfId="0" applyNumberFormat="1" applyBorder="1" applyAlignment="1">
      <alignment horizontal="center" vertical="center"/>
    </xf>
    <xf numFmtId="176" fontId="0" fillId="0" borderId="0" xfId="0" applyNumberFormat="1" applyBorder="1">
      <alignment vertical="center"/>
    </xf>
    <xf numFmtId="176" fontId="2" fillId="0" borderId="0" xfId="0" applyNumberFormat="1" applyFont="1" applyBorder="1" applyAlignment="1">
      <alignment horizontal="left" vertical="top" wrapText="1"/>
    </xf>
    <xf numFmtId="176" fontId="2" fillId="0" borderId="13" xfId="0" applyNumberFormat="1" applyFont="1" applyBorder="1" applyAlignment="1">
      <alignment horizontal="left" vertical="top" wrapText="1"/>
    </xf>
    <xf numFmtId="176" fontId="2" fillId="0" borderId="0" xfId="0" applyNumberFormat="1" applyFont="1" applyBorder="1" applyAlignment="1">
      <alignment horizontal="left" vertical="top" wrapText="1"/>
    </xf>
    <xf numFmtId="176" fontId="0" fillId="0" borderId="3" xfId="0" applyNumberFormat="1" applyBorder="1" applyAlignment="1">
      <alignment horizontal="left" vertical="center"/>
    </xf>
    <xf numFmtId="176" fontId="0" fillId="0" borderId="4" xfId="0" applyNumberFormat="1" applyBorder="1" applyAlignment="1">
      <alignment horizontal="left" vertical="center"/>
    </xf>
    <xf numFmtId="176" fontId="0" fillId="0" borderId="6" xfId="0" applyNumberFormat="1" applyBorder="1" applyAlignment="1">
      <alignment horizontal="left" vertical="center"/>
    </xf>
    <xf numFmtId="176" fontId="0" fillId="0" borderId="1" xfId="0" applyNumberFormat="1" applyBorder="1" applyAlignment="1">
      <alignment horizontal="left" vertical="center"/>
    </xf>
    <xf numFmtId="176" fontId="0" fillId="0" borderId="8" xfId="0" applyNumberFormat="1" applyBorder="1" applyAlignment="1">
      <alignment horizontal="left" vertical="center"/>
    </xf>
    <xf numFmtId="176" fontId="0" fillId="0" borderId="9" xfId="0" applyNumberFormat="1" applyBorder="1" applyAlignment="1">
      <alignment horizontal="left" vertical="center"/>
    </xf>
    <xf numFmtId="176" fontId="0" fillId="0" borderId="11" xfId="0" applyNumberFormat="1" applyBorder="1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3" fillId="0" borderId="0" xfId="0" applyNumberFormat="1" applyFont="1" applyAlignment="1">
      <alignment horizontal="left" vertical="top" wrapText="1"/>
    </xf>
    <xf numFmtId="176" fontId="3" fillId="0" borderId="13" xfId="0" applyNumberFormat="1" applyFont="1" applyBorder="1" applyAlignment="1">
      <alignment horizontal="left" vertical="top" wrapText="1"/>
    </xf>
    <xf numFmtId="176" fontId="0" fillId="0" borderId="2" xfId="0" applyNumberFormat="1" applyBorder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176" fontId="0" fillId="0" borderId="0" xfId="0" applyNumberFormat="1" applyAlignment="1">
      <alignment vertical="center"/>
    </xf>
    <xf numFmtId="176" fontId="0" fillId="0" borderId="1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部品別の総支払額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Sheet1!$D$34</c:f>
              <c:strCache>
                <c:ptCount val="1"/>
                <c:pt idx="0">
                  <c:v>総支払額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Sheet1!$A$35:$A$38</c:f>
              <c:strCache>
                <c:ptCount val="4"/>
                <c:pt idx="0">
                  <c:v>部品A</c:v>
                </c:pt>
                <c:pt idx="1">
                  <c:v>部品B</c:v>
                </c:pt>
                <c:pt idx="2">
                  <c:v>部品C</c:v>
                </c:pt>
                <c:pt idx="3">
                  <c:v>部品D</c:v>
                </c:pt>
              </c:strCache>
            </c:strRef>
          </c:cat>
          <c:val>
            <c:numRef>
              <c:f>Sheet1!$D$35:$D$38</c:f>
              <c:numCache>
                <c:formatCode>#,##0_ </c:formatCode>
                <c:ptCount val="4"/>
                <c:pt idx="0">
                  <c:v>5513330</c:v>
                </c:pt>
                <c:pt idx="1">
                  <c:v>7962908</c:v>
                </c:pt>
                <c:pt idx="2">
                  <c:v>10643140</c:v>
                </c:pt>
                <c:pt idx="3">
                  <c:v>7111608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9D-4179-B78F-73E0A7703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4106048"/>
        <c:axId val="704106376"/>
      </c:barChart>
      <c:catAx>
        <c:axId val="70410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4106376"/>
        <c:crosses val="autoZero"/>
        <c:auto val="1"/>
        <c:lblAlgn val="ctr"/>
        <c:lblOffset val="100"/>
        <c:noMultiLvlLbl val="0"/>
      </c:catAx>
      <c:valAx>
        <c:axId val="704106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4106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354330</xdr:colOff>
      <xdr:row>19</xdr:row>
      <xdr:rowOff>232410</xdr:rowOff>
    </xdr:from>
    <xdr:to>
      <xdr:col>18</xdr:col>
      <xdr:colOff>270510</xdr:colOff>
      <xdr:row>31</xdr:row>
      <xdr:rowOff>209550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AC110B8-91E2-4286-B044-376E28CCB5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91912-D0EE-4E5B-8DD2-FC8BFA77A65E}">
  <dimension ref="A1:U46"/>
  <sheetViews>
    <sheetView tabSelected="1" topLeftCell="A28" workbookViewId="0">
      <selection activeCell="P47" sqref="P47"/>
    </sheetView>
  </sheetViews>
  <sheetFormatPr defaultRowHeight="18" x14ac:dyDescent="0.45"/>
  <cols>
    <col min="1" max="1" width="6.796875" style="1" bestFit="1" customWidth="1"/>
    <col min="2" max="2" width="8.59765625" style="1" bestFit="1" customWidth="1"/>
    <col min="3" max="3" width="9.8984375" style="1" bestFit="1" customWidth="1"/>
    <col min="4" max="4" width="11" style="1" bestFit="1" customWidth="1"/>
    <col min="5" max="5" width="8.59765625" style="1" bestFit="1" customWidth="1"/>
    <col min="6" max="6" width="7.3984375" style="1" bestFit="1" customWidth="1"/>
    <col min="7" max="7" width="9.8984375" style="1" bestFit="1" customWidth="1"/>
    <col min="8" max="8" width="11" style="1" bestFit="1" customWidth="1"/>
    <col min="9" max="9" width="9.8984375" style="1" bestFit="1" customWidth="1"/>
    <col min="10" max="10" width="11" style="1" bestFit="1" customWidth="1"/>
    <col min="11" max="11" width="5" style="1" bestFit="1" customWidth="1"/>
    <col min="12" max="12" width="4.69921875" style="1" customWidth="1"/>
    <col min="13" max="13" width="8" style="1" bestFit="1" customWidth="1"/>
    <col min="14" max="14" width="8.59765625" style="1" bestFit="1" customWidth="1"/>
    <col min="15" max="15" width="11.296875" style="1" bestFit="1" customWidth="1"/>
    <col min="16" max="16" width="11.09765625" style="1" bestFit="1" customWidth="1"/>
    <col min="17" max="17" width="8.796875" style="1" bestFit="1" customWidth="1"/>
    <col min="18" max="18" width="8.59765625" style="1" bestFit="1" customWidth="1"/>
    <col min="19" max="20" width="5" style="1" bestFit="1" customWidth="1"/>
    <col min="21" max="21" width="8.59765625" style="1" bestFit="1" customWidth="1"/>
    <col min="22" max="16384" width="8.796875" style="1"/>
  </cols>
  <sheetData>
    <row r="1" spans="1:21" ht="18.600000000000001" thickBot="1" x14ac:dyDescent="0.5">
      <c r="A1" s="32" t="s">
        <v>1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21" x14ac:dyDescent="0.45">
      <c r="A2" s="4" t="s">
        <v>0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6" t="s">
        <v>11</v>
      </c>
      <c r="M2" s="37" t="s">
        <v>21</v>
      </c>
      <c r="N2" s="37"/>
      <c r="P2" s="37" t="s">
        <v>22</v>
      </c>
      <c r="Q2" s="37"/>
      <c r="T2" s="38" t="s">
        <v>22</v>
      </c>
      <c r="U2" s="38"/>
    </row>
    <row r="3" spans="1:21" x14ac:dyDescent="0.45">
      <c r="A3" s="7">
        <v>101</v>
      </c>
      <c r="B3" s="3" t="str">
        <f>VLOOKUP(A3,$M$4:$N$7,2,0)</f>
        <v>内平製作</v>
      </c>
      <c r="C3" s="3" t="s">
        <v>29</v>
      </c>
      <c r="D3" s="3" t="str">
        <f>VLOOKUP(C3,$P$4:$R$7,2,0)</f>
        <v>部品A</v>
      </c>
      <c r="E3" s="3">
        <f>VLOOKUP(RIGHT(C3,1),$T$4:$U$6,2,0)</f>
        <v>595</v>
      </c>
      <c r="F3" s="3">
        <v>1000</v>
      </c>
      <c r="G3" s="3">
        <f>ROUNDDOWN(VLOOKUP(C3,$P$4:$R$7,3,0)*F3,-2)</f>
        <v>52000</v>
      </c>
      <c r="H3" s="3">
        <f>E3*F3</f>
        <v>595000</v>
      </c>
      <c r="I3" s="3">
        <f>ROUNDUP(IF(H3&lt;1000000,H3*0.32,H3*0.41),-1)</f>
        <v>190400</v>
      </c>
      <c r="J3" s="3">
        <f>G3+H3+I3</f>
        <v>837400</v>
      </c>
      <c r="K3" s="8" t="str">
        <f>IF(AND(F3&lt;2800,I3&gt;=400000),$S$17,IF(AND(F3&lt;2800,I3&gt;=200000),$S$18,$S$19))</f>
        <v>***</v>
      </c>
      <c r="M3" s="2" t="s">
        <v>0</v>
      </c>
      <c r="N3" s="2" t="s">
        <v>2</v>
      </c>
      <c r="P3" s="2" t="s">
        <v>3</v>
      </c>
      <c r="Q3" s="2" t="s">
        <v>4</v>
      </c>
      <c r="R3" s="2" t="s">
        <v>23</v>
      </c>
      <c r="T3" s="2" t="s">
        <v>24</v>
      </c>
      <c r="U3" s="2" t="s">
        <v>5</v>
      </c>
    </row>
    <row r="4" spans="1:21" x14ac:dyDescent="0.45">
      <c r="A4" s="7">
        <v>101</v>
      </c>
      <c r="B4" s="3" t="str">
        <f t="shared" ref="B4:B18" si="0">VLOOKUP(A4,$M$4:$N$7,2,0)</f>
        <v>内平製作</v>
      </c>
      <c r="C4" s="3" t="s">
        <v>30</v>
      </c>
      <c r="D4" s="3" t="str">
        <f t="shared" ref="D4:D18" si="1">VLOOKUP(C4,$P$4:$R$7,2,0)</f>
        <v>部品B</v>
      </c>
      <c r="E4" s="3">
        <f t="shared" ref="E4:E18" si="2">VLOOKUP(RIGHT(C4,1),$T$4:$U$6,2,0)</f>
        <v>628</v>
      </c>
      <c r="F4" s="3">
        <v>2007</v>
      </c>
      <c r="G4" s="3">
        <f t="shared" ref="G4:G18" si="3">ROUNDDOWN(VLOOKUP(C4,$P$4:$R$7,3,0)*F4,-2)</f>
        <v>128400</v>
      </c>
      <c r="H4" s="3">
        <f t="shared" ref="H4:H18" si="4">E4*F4</f>
        <v>1260396</v>
      </c>
      <c r="I4" s="3">
        <f t="shared" ref="I4:I18" si="5">ROUNDUP(IF(H4&lt;1000000,H4*0.32,H4*0.41),-1)</f>
        <v>516770</v>
      </c>
      <c r="J4" s="3">
        <f t="shared" ref="J4:J18" si="6">G4+H4+I4</f>
        <v>1905566</v>
      </c>
      <c r="K4" s="8" t="str">
        <f t="shared" ref="K4:K18" si="7">IF(AND(F4&lt;2800,I4&gt;=400000),$S$17,IF(AND(F4&lt;2800,I4&gt;=200000),$S$18,$S$19))</f>
        <v>*</v>
      </c>
      <c r="M4" s="3">
        <v>101</v>
      </c>
      <c r="N4" s="3" t="s">
        <v>25</v>
      </c>
      <c r="P4" s="3" t="s">
        <v>29</v>
      </c>
      <c r="Q4" s="3" t="s">
        <v>14</v>
      </c>
      <c r="R4" s="3">
        <v>52</v>
      </c>
      <c r="T4" s="3" t="s">
        <v>33</v>
      </c>
      <c r="U4" s="3">
        <v>595</v>
      </c>
    </row>
    <row r="5" spans="1:21" x14ac:dyDescent="0.45">
      <c r="A5" s="7">
        <v>101</v>
      </c>
      <c r="B5" s="3" t="str">
        <f t="shared" si="0"/>
        <v>内平製作</v>
      </c>
      <c r="C5" s="3" t="s">
        <v>31</v>
      </c>
      <c r="D5" s="3" t="str">
        <f t="shared" si="1"/>
        <v>部品C</v>
      </c>
      <c r="E5" s="3">
        <f t="shared" si="2"/>
        <v>646</v>
      </c>
      <c r="F5" s="3">
        <v>2691</v>
      </c>
      <c r="G5" s="3">
        <f t="shared" si="3"/>
        <v>191000</v>
      </c>
      <c r="H5" s="3">
        <f t="shared" si="4"/>
        <v>1738386</v>
      </c>
      <c r="I5" s="3">
        <f t="shared" si="5"/>
        <v>712740</v>
      </c>
      <c r="J5" s="3">
        <f t="shared" si="6"/>
        <v>2642126</v>
      </c>
      <c r="K5" s="8" t="str">
        <f t="shared" si="7"/>
        <v>*</v>
      </c>
      <c r="M5" s="3">
        <v>102</v>
      </c>
      <c r="N5" s="3" t="s">
        <v>26</v>
      </c>
      <c r="P5" s="3" t="s">
        <v>30</v>
      </c>
      <c r="Q5" s="3" t="s">
        <v>15</v>
      </c>
      <c r="R5" s="3">
        <v>64</v>
      </c>
      <c r="T5" s="3" t="s">
        <v>34</v>
      </c>
      <c r="U5" s="3">
        <v>628</v>
      </c>
    </row>
    <row r="6" spans="1:21" x14ac:dyDescent="0.45">
      <c r="A6" s="7">
        <v>101</v>
      </c>
      <c r="B6" s="3" t="str">
        <f t="shared" si="0"/>
        <v>内平製作</v>
      </c>
      <c r="C6" s="3" t="s">
        <v>32</v>
      </c>
      <c r="D6" s="3" t="str">
        <f t="shared" si="1"/>
        <v>部品D</v>
      </c>
      <c r="E6" s="3">
        <f t="shared" si="2"/>
        <v>628</v>
      </c>
      <c r="F6" s="3">
        <v>1305</v>
      </c>
      <c r="G6" s="3">
        <f t="shared" si="3"/>
        <v>108300</v>
      </c>
      <c r="H6" s="3">
        <f t="shared" si="4"/>
        <v>819540</v>
      </c>
      <c r="I6" s="3">
        <f t="shared" si="5"/>
        <v>262260</v>
      </c>
      <c r="J6" s="3">
        <f t="shared" si="6"/>
        <v>1190100</v>
      </c>
      <c r="K6" s="8" t="str">
        <f t="shared" si="7"/>
        <v>**</v>
      </c>
      <c r="M6" s="3">
        <v>103</v>
      </c>
      <c r="N6" s="3" t="s">
        <v>27</v>
      </c>
      <c r="P6" s="3" t="s">
        <v>31</v>
      </c>
      <c r="Q6" s="3" t="s">
        <v>16</v>
      </c>
      <c r="R6" s="3">
        <v>71</v>
      </c>
      <c r="T6" s="3" t="s">
        <v>35</v>
      </c>
      <c r="U6" s="3">
        <v>646</v>
      </c>
    </row>
    <row r="7" spans="1:21" x14ac:dyDescent="0.45">
      <c r="A7" s="7">
        <v>102</v>
      </c>
      <c r="B7" s="3" t="str">
        <f t="shared" si="0"/>
        <v>森テック</v>
      </c>
      <c r="C7" s="3" t="s">
        <v>29</v>
      </c>
      <c r="D7" s="3" t="str">
        <f t="shared" si="1"/>
        <v>部品A</v>
      </c>
      <c r="E7" s="3">
        <f t="shared" si="2"/>
        <v>595</v>
      </c>
      <c r="F7" s="3">
        <v>3222</v>
      </c>
      <c r="G7" s="3">
        <f t="shared" si="3"/>
        <v>167500</v>
      </c>
      <c r="H7" s="3">
        <f t="shared" si="4"/>
        <v>1917090</v>
      </c>
      <c r="I7" s="3">
        <f t="shared" si="5"/>
        <v>786010</v>
      </c>
      <c r="J7" s="3">
        <f t="shared" si="6"/>
        <v>2870600</v>
      </c>
      <c r="K7" s="8" t="str">
        <f t="shared" si="7"/>
        <v>***</v>
      </c>
      <c r="M7" s="3">
        <v>104</v>
      </c>
      <c r="N7" s="3" t="s">
        <v>28</v>
      </c>
      <c r="P7" s="3" t="s">
        <v>32</v>
      </c>
      <c r="Q7" s="3" t="s">
        <v>17</v>
      </c>
      <c r="R7" s="3">
        <v>83</v>
      </c>
    </row>
    <row r="8" spans="1:21" x14ac:dyDescent="0.45">
      <c r="A8" s="7">
        <v>102</v>
      </c>
      <c r="B8" s="3" t="str">
        <f t="shared" si="0"/>
        <v>森テック</v>
      </c>
      <c r="C8" s="3" t="s">
        <v>30</v>
      </c>
      <c r="D8" s="3" t="str">
        <f t="shared" si="1"/>
        <v>部品B</v>
      </c>
      <c r="E8" s="3">
        <f t="shared" si="2"/>
        <v>628</v>
      </c>
      <c r="F8" s="3">
        <v>2880</v>
      </c>
      <c r="G8" s="3">
        <f t="shared" si="3"/>
        <v>184300</v>
      </c>
      <c r="H8" s="3">
        <f t="shared" si="4"/>
        <v>1808640</v>
      </c>
      <c r="I8" s="3">
        <f t="shared" si="5"/>
        <v>741550</v>
      </c>
      <c r="J8" s="3">
        <f t="shared" si="6"/>
        <v>2734490</v>
      </c>
      <c r="K8" s="8" t="str">
        <f t="shared" si="7"/>
        <v>***</v>
      </c>
    </row>
    <row r="9" spans="1:21" x14ac:dyDescent="0.45">
      <c r="A9" s="7">
        <v>102</v>
      </c>
      <c r="B9" s="3" t="str">
        <f t="shared" si="0"/>
        <v>森テック</v>
      </c>
      <c r="C9" s="3" t="s">
        <v>31</v>
      </c>
      <c r="D9" s="3" t="str">
        <f t="shared" si="1"/>
        <v>部品C</v>
      </c>
      <c r="E9" s="3">
        <f t="shared" si="2"/>
        <v>646</v>
      </c>
      <c r="F9" s="3">
        <v>2304</v>
      </c>
      <c r="G9" s="3">
        <f t="shared" si="3"/>
        <v>163500</v>
      </c>
      <c r="H9" s="3">
        <f t="shared" si="4"/>
        <v>1488384</v>
      </c>
      <c r="I9" s="3">
        <f t="shared" si="5"/>
        <v>610240</v>
      </c>
      <c r="J9" s="3">
        <f t="shared" si="6"/>
        <v>2262124</v>
      </c>
      <c r="K9" s="8" t="str">
        <f t="shared" si="7"/>
        <v>*</v>
      </c>
      <c r="M9" s="37" t="s">
        <v>36</v>
      </c>
      <c r="N9" s="37"/>
      <c r="O9" s="37"/>
      <c r="P9" s="37"/>
      <c r="Q9" s="37"/>
    </row>
    <row r="10" spans="1:21" x14ac:dyDescent="0.45">
      <c r="A10" s="7">
        <v>102</v>
      </c>
      <c r="B10" s="3" t="str">
        <f t="shared" si="0"/>
        <v>森テック</v>
      </c>
      <c r="C10" s="3" t="s">
        <v>32</v>
      </c>
      <c r="D10" s="3" t="str">
        <f t="shared" si="1"/>
        <v>部品D</v>
      </c>
      <c r="E10" s="3">
        <f t="shared" si="2"/>
        <v>628</v>
      </c>
      <c r="F10" s="3">
        <v>1935</v>
      </c>
      <c r="G10" s="3">
        <f t="shared" si="3"/>
        <v>160600</v>
      </c>
      <c r="H10" s="3">
        <f t="shared" si="4"/>
        <v>1215180</v>
      </c>
      <c r="I10" s="3">
        <f t="shared" si="5"/>
        <v>498230</v>
      </c>
      <c r="J10" s="3">
        <f t="shared" si="6"/>
        <v>1874010</v>
      </c>
      <c r="K10" s="8" t="str">
        <f t="shared" si="7"/>
        <v>*</v>
      </c>
      <c r="M10" s="39" t="s">
        <v>37</v>
      </c>
      <c r="N10" s="39"/>
      <c r="O10" s="39" t="s">
        <v>9</v>
      </c>
      <c r="P10" s="39"/>
      <c r="Q10" s="39"/>
    </row>
    <row r="11" spans="1:21" x14ac:dyDescent="0.45">
      <c r="A11" s="7">
        <v>103</v>
      </c>
      <c r="B11" s="3" t="str">
        <f t="shared" si="0"/>
        <v>ＡＢＥ</v>
      </c>
      <c r="C11" s="3" t="s">
        <v>29</v>
      </c>
      <c r="D11" s="3" t="str">
        <f t="shared" si="1"/>
        <v>部品A</v>
      </c>
      <c r="E11" s="3">
        <f t="shared" si="2"/>
        <v>595</v>
      </c>
      <c r="F11" s="3">
        <v>1107</v>
      </c>
      <c r="G11" s="3">
        <f t="shared" si="3"/>
        <v>57500</v>
      </c>
      <c r="H11" s="3">
        <f t="shared" si="4"/>
        <v>658665</v>
      </c>
      <c r="I11" s="3">
        <f t="shared" si="5"/>
        <v>210780</v>
      </c>
      <c r="J11" s="3">
        <f t="shared" si="6"/>
        <v>926945</v>
      </c>
      <c r="K11" s="8" t="str">
        <f t="shared" si="7"/>
        <v>**</v>
      </c>
      <c r="M11" s="28" t="s">
        <v>38</v>
      </c>
      <c r="N11" s="28"/>
      <c r="O11" s="28" t="s">
        <v>40</v>
      </c>
      <c r="P11" s="28"/>
      <c r="Q11" s="28"/>
    </row>
    <row r="12" spans="1:21" x14ac:dyDescent="0.45">
      <c r="A12" s="7">
        <v>103</v>
      </c>
      <c r="B12" s="3" t="str">
        <f t="shared" si="0"/>
        <v>ＡＢＥ</v>
      </c>
      <c r="C12" s="3" t="s">
        <v>30</v>
      </c>
      <c r="D12" s="3" t="str">
        <f t="shared" si="1"/>
        <v>部品B</v>
      </c>
      <c r="E12" s="3">
        <f t="shared" si="2"/>
        <v>628</v>
      </c>
      <c r="F12" s="3">
        <v>1332</v>
      </c>
      <c r="G12" s="3">
        <f t="shared" si="3"/>
        <v>85200</v>
      </c>
      <c r="H12" s="3">
        <f t="shared" si="4"/>
        <v>836496</v>
      </c>
      <c r="I12" s="3">
        <f t="shared" si="5"/>
        <v>267680</v>
      </c>
      <c r="J12" s="3">
        <f t="shared" si="6"/>
        <v>1189376</v>
      </c>
      <c r="K12" s="8" t="str">
        <f t="shared" si="7"/>
        <v>**</v>
      </c>
      <c r="M12" s="28" t="s">
        <v>39</v>
      </c>
      <c r="N12" s="28"/>
      <c r="O12" s="28" t="s">
        <v>41</v>
      </c>
      <c r="P12" s="28"/>
      <c r="Q12" s="28"/>
    </row>
    <row r="13" spans="1:21" x14ac:dyDescent="0.45">
      <c r="A13" s="7">
        <v>103</v>
      </c>
      <c r="B13" s="3" t="str">
        <f t="shared" si="0"/>
        <v>ＡＢＥ</v>
      </c>
      <c r="C13" s="3" t="s">
        <v>31</v>
      </c>
      <c r="D13" s="3" t="str">
        <f t="shared" si="1"/>
        <v>部品C</v>
      </c>
      <c r="E13" s="3">
        <f t="shared" si="2"/>
        <v>646</v>
      </c>
      <c r="F13" s="3">
        <v>2799</v>
      </c>
      <c r="G13" s="3">
        <f t="shared" si="3"/>
        <v>198700</v>
      </c>
      <c r="H13" s="3">
        <f t="shared" si="4"/>
        <v>1808154</v>
      </c>
      <c r="I13" s="3">
        <f t="shared" si="5"/>
        <v>741350</v>
      </c>
      <c r="J13" s="3">
        <f t="shared" si="6"/>
        <v>2748204</v>
      </c>
      <c r="K13" s="8" t="str">
        <f t="shared" si="7"/>
        <v>*</v>
      </c>
      <c r="M13" s="31" t="s">
        <v>42</v>
      </c>
      <c r="N13" s="31"/>
      <c r="O13" s="31"/>
      <c r="P13" s="31"/>
      <c r="Q13" s="31"/>
    </row>
    <row r="14" spans="1:21" x14ac:dyDescent="0.45">
      <c r="A14" s="7">
        <v>103</v>
      </c>
      <c r="B14" s="3" t="str">
        <f t="shared" si="0"/>
        <v>ＡＢＥ</v>
      </c>
      <c r="C14" s="3" t="s">
        <v>32</v>
      </c>
      <c r="D14" s="3" t="str">
        <f t="shared" si="1"/>
        <v>部品D</v>
      </c>
      <c r="E14" s="3">
        <f t="shared" si="2"/>
        <v>628</v>
      </c>
      <c r="F14" s="3">
        <v>2700</v>
      </c>
      <c r="G14" s="3">
        <f t="shared" si="3"/>
        <v>224100</v>
      </c>
      <c r="H14" s="3">
        <f t="shared" si="4"/>
        <v>1695600</v>
      </c>
      <c r="I14" s="3">
        <f t="shared" si="5"/>
        <v>695200</v>
      </c>
      <c r="J14" s="3">
        <f t="shared" si="6"/>
        <v>2614900</v>
      </c>
      <c r="K14" s="8" t="str">
        <f t="shared" si="7"/>
        <v>*</v>
      </c>
    </row>
    <row r="15" spans="1:21" x14ac:dyDescent="0.45">
      <c r="A15" s="7">
        <v>104</v>
      </c>
      <c r="B15" s="3" t="str">
        <f t="shared" si="0"/>
        <v>川田企画</v>
      </c>
      <c r="C15" s="3" t="s">
        <v>29</v>
      </c>
      <c r="D15" s="3" t="str">
        <f t="shared" si="1"/>
        <v>部品A</v>
      </c>
      <c r="E15" s="3">
        <f t="shared" si="2"/>
        <v>595</v>
      </c>
      <c r="F15" s="3">
        <v>1049</v>
      </c>
      <c r="G15" s="3">
        <f t="shared" si="3"/>
        <v>54500</v>
      </c>
      <c r="H15" s="3">
        <f t="shared" si="4"/>
        <v>624155</v>
      </c>
      <c r="I15" s="3">
        <f t="shared" si="5"/>
        <v>199730</v>
      </c>
      <c r="J15" s="3">
        <f t="shared" si="6"/>
        <v>878385</v>
      </c>
      <c r="K15" s="8" t="str">
        <f t="shared" si="7"/>
        <v>***</v>
      </c>
      <c r="M15" s="36" t="s">
        <v>43</v>
      </c>
      <c r="N15" s="36"/>
      <c r="O15" s="36"/>
      <c r="P15" s="36"/>
      <c r="Q15" s="36"/>
      <c r="R15" s="36"/>
      <c r="S15" s="36"/>
    </row>
    <row r="16" spans="1:21" x14ac:dyDescent="0.45">
      <c r="A16" s="7">
        <v>104</v>
      </c>
      <c r="B16" s="3" t="str">
        <f t="shared" si="0"/>
        <v>川田企画</v>
      </c>
      <c r="C16" s="3" t="s">
        <v>30</v>
      </c>
      <c r="D16" s="3" t="str">
        <f t="shared" si="1"/>
        <v>部品B</v>
      </c>
      <c r="E16" s="3">
        <f t="shared" si="2"/>
        <v>628</v>
      </c>
      <c r="F16" s="3">
        <v>2247</v>
      </c>
      <c r="G16" s="3">
        <f t="shared" si="3"/>
        <v>143800</v>
      </c>
      <c r="H16" s="3">
        <f t="shared" si="4"/>
        <v>1411116</v>
      </c>
      <c r="I16" s="3">
        <f t="shared" si="5"/>
        <v>578560</v>
      </c>
      <c r="J16" s="3">
        <f t="shared" si="6"/>
        <v>2133476</v>
      </c>
      <c r="K16" s="8" t="str">
        <f t="shared" si="7"/>
        <v>*</v>
      </c>
      <c r="M16" s="28" t="s">
        <v>46</v>
      </c>
      <c r="N16" s="28"/>
      <c r="O16" s="28"/>
      <c r="P16" s="28"/>
      <c r="Q16" s="28"/>
      <c r="R16" s="28"/>
      <c r="S16" s="3" t="s">
        <v>11</v>
      </c>
    </row>
    <row r="17" spans="1:19" x14ac:dyDescent="0.45">
      <c r="A17" s="7">
        <v>104</v>
      </c>
      <c r="B17" s="3" t="str">
        <f t="shared" si="0"/>
        <v>川田企画</v>
      </c>
      <c r="C17" s="3" t="s">
        <v>31</v>
      </c>
      <c r="D17" s="3" t="str">
        <f t="shared" si="1"/>
        <v>部品C</v>
      </c>
      <c r="E17" s="3">
        <f t="shared" si="2"/>
        <v>646</v>
      </c>
      <c r="F17" s="3">
        <v>3046</v>
      </c>
      <c r="G17" s="3">
        <f t="shared" si="3"/>
        <v>216200</v>
      </c>
      <c r="H17" s="3">
        <f t="shared" si="4"/>
        <v>1967716</v>
      </c>
      <c r="I17" s="3">
        <f t="shared" si="5"/>
        <v>806770</v>
      </c>
      <c r="J17" s="3">
        <f t="shared" si="6"/>
        <v>2990686</v>
      </c>
      <c r="K17" s="8" t="str">
        <f t="shared" si="7"/>
        <v>***</v>
      </c>
      <c r="M17" s="28" t="s">
        <v>44</v>
      </c>
      <c r="N17" s="28"/>
      <c r="O17" s="28"/>
      <c r="P17" s="28"/>
      <c r="Q17" s="28"/>
      <c r="R17" s="28"/>
      <c r="S17" s="3" t="s">
        <v>47</v>
      </c>
    </row>
    <row r="18" spans="1:19" x14ac:dyDescent="0.45">
      <c r="A18" s="7">
        <v>104</v>
      </c>
      <c r="B18" s="3" t="str">
        <f t="shared" si="0"/>
        <v>川田企画</v>
      </c>
      <c r="C18" s="3" t="s">
        <v>32</v>
      </c>
      <c r="D18" s="3" t="str">
        <f t="shared" si="1"/>
        <v>部品D</v>
      </c>
      <c r="E18" s="3">
        <f t="shared" si="2"/>
        <v>628</v>
      </c>
      <c r="F18" s="3">
        <v>1571</v>
      </c>
      <c r="G18" s="3">
        <f t="shared" si="3"/>
        <v>130300</v>
      </c>
      <c r="H18" s="3">
        <f t="shared" si="4"/>
        <v>986588</v>
      </c>
      <c r="I18" s="3">
        <f t="shared" si="5"/>
        <v>315710</v>
      </c>
      <c r="J18" s="3">
        <f t="shared" si="6"/>
        <v>1432598</v>
      </c>
      <c r="K18" s="8" t="str">
        <f t="shared" si="7"/>
        <v>**</v>
      </c>
      <c r="M18" s="28" t="s">
        <v>45</v>
      </c>
      <c r="N18" s="28"/>
      <c r="O18" s="28"/>
      <c r="P18" s="28"/>
      <c r="Q18" s="28"/>
      <c r="R18" s="28"/>
      <c r="S18" s="3" t="s">
        <v>48</v>
      </c>
    </row>
    <row r="19" spans="1:19" x14ac:dyDescent="0.45">
      <c r="A19" s="7"/>
      <c r="B19" s="3"/>
      <c r="C19" s="3"/>
      <c r="D19" s="3"/>
      <c r="E19" s="3"/>
      <c r="F19" s="3"/>
      <c r="G19" s="3"/>
      <c r="H19" s="3"/>
      <c r="I19" s="3"/>
      <c r="J19" s="3"/>
      <c r="K19" s="8"/>
      <c r="M19" s="28" t="s">
        <v>39</v>
      </c>
      <c r="N19" s="28"/>
      <c r="O19" s="28"/>
      <c r="P19" s="28"/>
      <c r="Q19" s="28"/>
      <c r="R19" s="28"/>
      <c r="S19" s="3" t="s">
        <v>49</v>
      </c>
    </row>
    <row r="20" spans="1:19" ht="18.600000000000001" thickBot="1" x14ac:dyDescent="0.5">
      <c r="A20" s="9"/>
      <c r="B20" s="10" t="s">
        <v>12</v>
      </c>
      <c r="C20" s="10"/>
      <c r="D20" s="10"/>
      <c r="E20" s="10"/>
      <c r="F20" s="11">
        <f>SUM(F3:F18)</f>
        <v>33195</v>
      </c>
      <c r="G20" s="11">
        <f t="shared" ref="G20:J20" si="8">SUM(G3:G18)</f>
        <v>2265900</v>
      </c>
      <c r="H20" s="11">
        <f t="shared" si="8"/>
        <v>20831106</v>
      </c>
      <c r="I20" s="11">
        <f t="shared" si="8"/>
        <v>8133980</v>
      </c>
      <c r="J20" s="11">
        <f t="shared" si="8"/>
        <v>31230986</v>
      </c>
      <c r="K20" s="12"/>
    </row>
    <row r="21" spans="1:19" x14ac:dyDescent="0.45">
      <c r="A21" s="20"/>
      <c r="B21" s="20"/>
      <c r="C21" s="20"/>
      <c r="D21" s="20"/>
      <c r="E21" s="20"/>
      <c r="F21" s="21"/>
      <c r="G21" s="21"/>
      <c r="H21" s="21"/>
      <c r="I21" s="21"/>
      <c r="J21" s="21"/>
      <c r="K21" s="20"/>
    </row>
    <row r="22" spans="1:19" ht="18.600000000000001" thickBot="1" x14ac:dyDescent="0.5">
      <c r="A22" s="32" t="s">
        <v>66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9" x14ac:dyDescent="0.45">
      <c r="A23" s="4" t="s">
        <v>0</v>
      </c>
      <c r="B23" s="5" t="s">
        <v>2</v>
      </c>
      <c r="C23" s="5" t="s">
        <v>3</v>
      </c>
      <c r="D23" s="5" t="s">
        <v>4</v>
      </c>
      <c r="E23" s="5" t="s">
        <v>5</v>
      </c>
      <c r="F23" s="5" t="s">
        <v>6</v>
      </c>
      <c r="G23" s="5" t="s">
        <v>7</v>
      </c>
      <c r="H23" s="5" t="s">
        <v>8</v>
      </c>
      <c r="I23" s="5" t="s">
        <v>9</v>
      </c>
      <c r="J23" s="5" t="s">
        <v>10</v>
      </c>
      <c r="K23" s="6" t="s">
        <v>11</v>
      </c>
    </row>
    <row r="24" spans="1:19" x14ac:dyDescent="0.45">
      <c r="A24" s="7">
        <v>102</v>
      </c>
      <c r="B24" s="3" t="str">
        <f>VLOOKUP(A24,$M$4:$N$7,2,0)</f>
        <v>森テック</v>
      </c>
      <c r="C24" s="3" t="s">
        <v>32</v>
      </c>
      <c r="D24" s="3" t="str">
        <f>VLOOKUP(C24,$P$4:$R$7,2,0)</f>
        <v>部品D</v>
      </c>
      <c r="E24" s="3">
        <f>VLOOKUP(RIGHT(C24,1),$T$4:$U$6,2,0)</f>
        <v>628</v>
      </c>
      <c r="F24" s="3">
        <v>1935</v>
      </c>
      <c r="G24" s="3">
        <f>ROUNDDOWN(VLOOKUP(C24,$P$4:$R$7,3,0)*F24,-2)</f>
        <v>160600</v>
      </c>
      <c r="H24" s="3">
        <f>E24*F24</f>
        <v>1215180</v>
      </c>
      <c r="I24" s="3">
        <f>ROUNDUP(IF(H24&lt;1000000,H24*0.32,H24*0.41),-1)</f>
        <v>498230</v>
      </c>
      <c r="J24" s="3">
        <f>G24+H24+I24</f>
        <v>1874010</v>
      </c>
      <c r="K24" s="8" t="str">
        <f>IF(AND(F24&lt;2800,I24&gt;=400000),$S$17,IF(AND(F24&lt;2800,I24&gt;=200000),$S$18,$S$19))</f>
        <v>*</v>
      </c>
    </row>
    <row r="25" spans="1:19" x14ac:dyDescent="0.45">
      <c r="A25" s="7">
        <v>104</v>
      </c>
      <c r="B25" s="3" t="str">
        <f>VLOOKUP(A25,$M$4:$N$7,2,0)</f>
        <v>川田企画</v>
      </c>
      <c r="C25" s="3" t="s">
        <v>32</v>
      </c>
      <c r="D25" s="3" t="str">
        <f>VLOOKUP(C25,$P$4:$R$7,2,0)</f>
        <v>部品D</v>
      </c>
      <c r="E25" s="3">
        <f>VLOOKUP(RIGHT(C25,1),$T$4:$U$6,2,0)</f>
        <v>628</v>
      </c>
      <c r="F25" s="3">
        <v>1571</v>
      </c>
      <c r="G25" s="3">
        <f>ROUNDDOWN(VLOOKUP(C25,$P$4:$R$7,3,0)*F25,-2)</f>
        <v>130300</v>
      </c>
      <c r="H25" s="3">
        <f>E25*F25</f>
        <v>986588</v>
      </c>
      <c r="I25" s="3">
        <f>ROUNDUP(IF(H25&lt;1000000,H25*0.32,H25*0.41),-1)</f>
        <v>315710</v>
      </c>
      <c r="J25" s="3">
        <f>G25+H25+I25</f>
        <v>1432598</v>
      </c>
      <c r="K25" s="8" t="str">
        <f>IF(AND(F25&lt;2800,I25&gt;=400000),$S$17,IF(AND(F25&lt;2800,I25&gt;=200000),$S$18,$S$19))</f>
        <v>**</v>
      </c>
    </row>
    <row r="26" spans="1:19" x14ac:dyDescent="0.45">
      <c r="A26" s="7">
        <v>101</v>
      </c>
      <c r="B26" s="3" t="str">
        <f>VLOOKUP(A26,$M$4:$N$7,2,0)</f>
        <v>内平製作</v>
      </c>
      <c r="C26" s="3" t="s">
        <v>32</v>
      </c>
      <c r="D26" s="3" t="str">
        <f>VLOOKUP(C26,$P$4:$R$7,2,0)</f>
        <v>部品D</v>
      </c>
      <c r="E26" s="3">
        <f>VLOOKUP(RIGHT(C26,1),$T$4:$U$6,2,0)</f>
        <v>628</v>
      </c>
      <c r="F26" s="3">
        <v>1305</v>
      </c>
      <c r="G26" s="3">
        <f>ROUNDDOWN(VLOOKUP(C26,$P$4:$R$7,3,0)*F26,-2)</f>
        <v>108300</v>
      </c>
      <c r="H26" s="3">
        <f>E26*F26</f>
        <v>819540</v>
      </c>
      <c r="I26" s="3">
        <f>ROUNDUP(IF(H26&lt;1000000,H26*0.32,H26*0.41),-1)</f>
        <v>262260</v>
      </c>
      <c r="J26" s="3">
        <f>G26+H26+I26</f>
        <v>1190100</v>
      </c>
      <c r="K26" s="8" t="str">
        <f>IF(AND(F26&lt;2800,I26&gt;=400000),$S$17,IF(AND(F26&lt;2800,I26&gt;=200000),$S$18,$S$19))</f>
        <v>**</v>
      </c>
    </row>
    <row r="27" spans="1:19" x14ac:dyDescent="0.45">
      <c r="A27" s="7">
        <v>103</v>
      </c>
      <c r="B27" s="3" t="str">
        <f>VLOOKUP(A27,$M$4:$N$7,2,0)</f>
        <v>ＡＢＥ</v>
      </c>
      <c r="C27" s="3" t="s">
        <v>30</v>
      </c>
      <c r="D27" s="3" t="str">
        <f>VLOOKUP(C27,$P$4:$R$7,2,0)</f>
        <v>部品B</v>
      </c>
      <c r="E27" s="3">
        <f>VLOOKUP(RIGHT(C27,1),$T$4:$U$6,2,0)</f>
        <v>628</v>
      </c>
      <c r="F27" s="3">
        <v>1332</v>
      </c>
      <c r="G27" s="3">
        <f>ROUNDDOWN(VLOOKUP(C27,$P$4:$R$7,3,0)*F27,-2)</f>
        <v>85200</v>
      </c>
      <c r="H27" s="3">
        <f>E27*F27</f>
        <v>836496</v>
      </c>
      <c r="I27" s="3">
        <f>ROUNDUP(IF(H27&lt;1000000,H27*0.32,H27*0.41),-1)</f>
        <v>267680</v>
      </c>
      <c r="J27" s="3">
        <f>G27+H27+I27</f>
        <v>1189376</v>
      </c>
      <c r="K27" s="8" t="str">
        <f>IF(AND(F27&lt;2800,I27&gt;=400000),$S$17,IF(AND(F27&lt;2800,I27&gt;=200000),$S$18,$S$19))</f>
        <v>**</v>
      </c>
    </row>
    <row r="28" spans="1:19" x14ac:dyDescent="0.45">
      <c r="A28" s="7">
        <v>103</v>
      </c>
      <c r="B28" s="3" t="str">
        <f>VLOOKUP(A28,$M$4:$N$7,2,0)</f>
        <v>ＡＢＥ</v>
      </c>
      <c r="C28" s="3" t="s">
        <v>29</v>
      </c>
      <c r="D28" s="3" t="str">
        <f>VLOOKUP(C28,$P$4:$R$7,2,0)</f>
        <v>部品A</v>
      </c>
      <c r="E28" s="3">
        <f>VLOOKUP(RIGHT(C28,1),$T$4:$U$6,2,0)</f>
        <v>595</v>
      </c>
      <c r="F28" s="3">
        <v>1107</v>
      </c>
      <c r="G28" s="3">
        <f>ROUNDDOWN(VLOOKUP(C28,$P$4:$R$7,3,0)*F28,-2)</f>
        <v>57500</v>
      </c>
      <c r="H28" s="3">
        <f>E28*F28</f>
        <v>658665</v>
      </c>
      <c r="I28" s="3">
        <f>ROUNDUP(IF(H28&lt;1000000,H28*0.32,H28*0.41),-1)</f>
        <v>210780</v>
      </c>
      <c r="J28" s="3">
        <f>G28+H28+I28</f>
        <v>926945</v>
      </c>
      <c r="K28" s="8" t="str">
        <f>IF(AND(F28&lt;2800,I28&gt;=400000),$S$17,IF(AND(F28&lt;2800,I28&gt;=200000),$S$18,$S$19))</f>
        <v>**</v>
      </c>
    </row>
    <row r="29" spans="1:19" x14ac:dyDescent="0.45">
      <c r="A29" s="7"/>
      <c r="B29" s="3"/>
      <c r="C29" s="3"/>
      <c r="D29" s="3"/>
      <c r="E29" s="3"/>
      <c r="F29" s="3"/>
      <c r="G29" s="3"/>
      <c r="H29" s="3"/>
      <c r="I29" s="3"/>
      <c r="J29" s="3"/>
      <c r="K29" s="8"/>
    </row>
    <row r="30" spans="1:19" ht="18.600000000000001" thickBot="1" x14ac:dyDescent="0.5">
      <c r="A30" s="9"/>
      <c r="B30" s="10" t="s">
        <v>12</v>
      </c>
      <c r="C30" s="10"/>
      <c r="D30" s="10"/>
      <c r="E30" s="10"/>
      <c r="F30" s="11">
        <f>SUM(F24:F28)</f>
        <v>7250</v>
      </c>
      <c r="G30" s="11">
        <f>SUM(G24:G28)</f>
        <v>541900</v>
      </c>
      <c r="H30" s="11">
        <f>SUM(H24:H28)</f>
        <v>4516469</v>
      </c>
      <c r="I30" s="11">
        <f>SUM(I24:I28)</f>
        <v>1554660</v>
      </c>
      <c r="J30" s="11">
        <f>SUM(J24:J28)</f>
        <v>6613029</v>
      </c>
      <c r="K30" s="12"/>
    </row>
    <row r="31" spans="1:19" x14ac:dyDescent="0.45">
      <c r="A31" s="20"/>
      <c r="B31" s="20"/>
      <c r="C31" s="20"/>
      <c r="D31" s="20"/>
      <c r="E31" s="20"/>
      <c r="F31" s="21"/>
      <c r="G31" s="21"/>
      <c r="H31" s="21"/>
      <c r="I31" s="21"/>
      <c r="J31" s="21"/>
      <c r="K31" s="20"/>
    </row>
    <row r="33" spans="1:17" ht="18.600000000000001" thickBot="1" x14ac:dyDescent="0.5">
      <c r="A33" s="32" t="s">
        <v>13</v>
      </c>
      <c r="B33" s="32"/>
      <c r="C33" s="32"/>
      <c r="D33" s="32"/>
      <c r="E33" s="1" t="s">
        <v>55</v>
      </c>
      <c r="F33" s="33" t="s">
        <v>56</v>
      </c>
      <c r="G33" s="33"/>
      <c r="H33" s="33"/>
    </row>
    <row r="34" spans="1:17" x14ac:dyDescent="0.45">
      <c r="A34" s="14" t="s">
        <v>4</v>
      </c>
      <c r="B34" s="15" t="s">
        <v>6</v>
      </c>
      <c r="C34" s="15" t="s">
        <v>9</v>
      </c>
      <c r="D34" s="16" t="s">
        <v>10</v>
      </c>
      <c r="E34" s="14" t="s">
        <v>4</v>
      </c>
      <c r="F34" s="15" t="s">
        <v>6</v>
      </c>
      <c r="G34" s="15" t="s">
        <v>9</v>
      </c>
      <c r="H34" s="16" t="s">
        <v>10</v>
      </c>
      <c r="I34" s="23" t="s">
        <v>57</v>
      </c>
      <c r="J34" s="34"/>
      <c r="M34" s="13" t="s">
        <v>50</v>
      </c>
      <c r="N34" s="13" t="s">
        <v>50</v>
      </c>
      <c r="O34" s="13" t="s">
        <v>50</v>
      </c>
      <c r="P34" s="13" t="s">
        <v>50</v>
      </c>
    </row>
    <row r="35" spans="1:17" ht="18" customHeight="1" x14ac:dyDescent="0.45">
      <c r="A35" s="7" t="s">
        <v>14</v>
      </c>
      <c r="B35" s="3">
        <f>DSUM($A$2:$K$18,6,$M$34:$M$35)</f>
        <v>6378</v>
      </c>
      <c r="C35" s="3">
        <f>DSUM($A$2:$K$18,9,$M$34:$M$35)</f>
        <v>1386920</v>
      </c>
      <c r="D35" s="8">
        <f>DSUM($A$2:$K$18,10,$M$34:$M$35)</f>
        <v>5513330</v>
      </c>
      <c r="E35" s="7" t="s">
        <v>14</v>
      </c>
      <c r="F35" s="3">
        <f>SUMIF($D$3:$D$18,$E35,$F$3:$F$18)</f>
        <v>6378</v>
      </c>
      <c r="G35" s="3">
        <f>SUMIF($D$3:$D$18,$E35,$I$3:$I$18)</f>
        <v>1386920</v>
      </c>
      <c r="H35" s="8">
        <f>SUMIF($D$3:$D$18,$E35,$J$3:$J$18)</f>
        <v>5513330</v>
      </c>
      <c r="I35" s="35"/>
      <c r="J35" s="34"/>
      <c r="L35" s="22"/>
      <c r="M35" s="13" t="s">
        <v>51</v>
      </c>
      <c r="N35" s="13" t="s">
        <v>52</v>
      </c>
      <c r="O35" s="13" t="s">
        <v>53</v>
      </c>
      <c r="P35" s="13" t="s">
        <v>54</v>
      </c>
    </row>
    <row r="36" spans="1:17" x14ac:dyDescent="0.45">
      <c r="A36" s="7" t="s">
        <v>15</v>
      </c>
      <c r="B36" s="3">
        <f>DSUM($A$2:$K$18,6,$N$34:$N$35)</f>
        <v>8466</v>
      </c>
      <c r="C36" s="3">
        <f>DSUM($A$2:$K$18,9,$N$34:$N$35)</f>
        <v>2104560</v>
      </c>
      <c r="D36" s="8">
        <f>DSUM($A$2:$K$18,10,$N$34:$N$35)</f>
        <v>7962908</v>
      </c>
      <c r="E36" s="7" t="s">
        <v>15</v>
      </c>
      <c r="F36" s="3">
        <f t="shared" ref="F36:F38" si="9">SUMIF($D$3:$D$18,$E36,$F$3:$F$18)</f>
        <v>8466</v>
      </c>
      <c r="G36" s="3">
        <f t="shared" ref="G36:G38" si="10">SUMIF($D$3:$D$18,$E36,$I$3:$I$18)</f>
        <v>2104560</v>
      </c>
      <c r="H36" s="8">
        <f t="shared" ref="H36:H38" si="11">SUMIF($D$3:$D$18,$E36,$J$3:$J$18)</f>
        <v>7962908</v>
      </c>
      <c r="I36" s="35"/>
      <c r="J36" s="34"/>
      <c r="L36" s="22"/>
    </row>
    <row r="37" spans="1:17" x14ac:dyDescent="0.45">
      <c r="A37" s="7" t="s">
        <v>16</v>
      </c>
      <c r="B37" s="3">
        <f>DSUM($A$2:$K$18,6,$O$34:$O$35)</f>
        <v>10840</v>
      </c>
      <c r="C37" s="3">
        <f>DSUM($A$2:$K$18,9,$O$34:$O$35)</f>
        <v>2871100</v>
      </c>
      <c r="D37" s="8">
        <f>DSUM($A$2:$K$18,10,$O$34:$O$35)</f>
        <v>10643140</v>
      </c>
      <c r="E37" s="7" t="s">
        <v>16</v>
      </c>
      <c r="F37" s="3">
        <f t="shared" si="9"/>
        <v>10840</v>
      </c>
      <c r="G37" s="3">
        <f t="shared" si="10"/>
        <v>2871100</v>
      </c>
      <c r="H37" s="8">
        <f t="shared" si="11"/>
        <v>10643140</v>
      </c>
      <c r="L37" s="22"/>
    </row>
    <row r="38" spans="1:17" ht="18.600000000000001" thickBot="1" x14ac:dyDescent="0.5">
      <c r="A38" s="17" t="s">
        <v>17</v>
      </c>
      <c r="B38" s="11">
        <f>DSUM($A$2:$K$18,6,$P$34:$P$35)</f>
        <v>7511</v>
      </c>
      <c r="C38" s="11">
        <f>DSUM($A$2:$K$18,9,$P$34:$P$35)</f>
        <v>1771400</v>
      </c>
      <c r="D38" s="18">
        <f>DSUM($A$2:$K$18,10,$P$34:$P$35)</f>
        <v>7111608</v>
      </c>
      <c r="E38" s="17" t="s">
        <v>17</v>
      </c>
      <c r="F38" s="11">
        <f t="shared" si="9"/>
        <v>7511</v>
      </c>
      <c r="G38" s="11">
        <f t="shared" si="10"/>
        <v>1771400</v>
      </c>
      <c r="H38" s="18">
        <f t="shared" si="11"/>
        <v>7111608</v>
      </c>
    </row>
    <row r="39" spans="1:17" ht="18.600000000000001" thickBot="1" x14ac:dyDescent="0.5"/>
    <row r="40" spans="1:17" x14ac:dyDescent="0.45">
      <c r="A40" s="25" t="s">
        <v>18</v>
      </c>
      <c r="B40" s="26"/>
      <c r="C40" s="26"/>
      <c r="D40" s="26"/>
      <c r="E40" s="26"/>
      <c r="F40" s="26"/>
      <c r="G40" s="26"/>
      <c r="H40" s="16">
        <f>DCOUNT($A$2:$K$18,6,$M$40:$N$41)</f>
        <v>6</v>
      </c>
      <c r="M40" s="13" t="s">
        <v>58</v>
      </c>
      <c r="N40" s="19" t="s">
        <v>58</v>
      </c>
      <c r="O40" s="13" t="s">
        <v>62</v>
      </c>
      <c r="P40" s="13" t="s">
        <v>61</v>
      </c>
      <c r="Q40" s="13" t="s">
        <v>50</v>
      </c>
    </row>
    <row r="41" spans="1:17" x14ac:dyDescent="0.45">
      <c r="A41" s="27" t="s">
        <v>19</v>
      </c>
      <c r="B41" s="28"/>
      <c r="C41" s="28"/>
      <c r="D41" s="28"/>
      <c r="E41" s="28"/>
      <c r="F41" s="28"/>
      <c r="G41" s="28"/>
      <c r="H41" s="8">
        <f>DSUM($A$2:$K$18,9,$O$40:$P$42)</f>
        <v>4082590</v>
      </c>
      <c r="M41" s="13" t="s">
        <v>59</v>
      </c>
      <c r="N41" s="19" t="s">
        <v>60</v>
      </c>
      <c r="O41" s="13" t="s">
        <v>64</v>
      </c>
      <c r="P41" s="13"/>
      <c r="Q41" s="13" t="s">
        <v>65</v>
      </c>
    </row>
    <row r="42" spans="1:17" ht="18.600000000000001" thickBot="1" x14ac:dyDescent="0.5">
      <c r="A42" s="29" t="s">
        <v>20</v>
      </c>
      <c r="B42" s="30"/>
      <c r="C42" s="30"/>
      <c r="D42" s="30"/>
      <c r="E42" s="30"/>
      <c r="F42" s="30"/>
      <c r="G42" s="30"/>
      <c r="H42" s="18">
        <f>ROUND(DAVERAGE($A$2:$K$18,8,$Q$40:$Q$41),0)</f>
        <v>1292872</v>
      </c>
      <c r="O42" s="13"/>
      <c r="P42" s="13" t="s">
        <v>63</v>
      </c>
    </row>
    <row r="43" spans="1:17" ht="18.600000000000001" thickBot="1" x14ac:dyDescent="0.5">
      <c r="A43" s="1" t="s">
        <v>55</v>
      </c>
    </row>
    <row r="44" spans="1:17" ht="18" customHeight="1" x14ac:dyDescent="0.45">
      <c r="A44" s="25" t="s">
        <v>18</v>
      </c>
      <c r="B44" s="26"/>
      <c r="C44" s="26"/>
      <c r="D44" s="26"/>
      <c r="E44" s="26"/>
      <c r="F44" s="26"/>
      <c r="G44" s="26"/>
      <c r="H44" s="16">
        <f>COUNTIFS($F$3:$F$18,"&gt;=1500",$F$3:$F$18,"&lt;2700")</f>
        <v>6</v>
      </c>
      <c r="I44" s="23" t="s">
        <v>67</v>
      </c>
      <c r="J44" s="24"/>
      <c r="K44" s="24"/>
      <c r="L44" s="24"/>
      <c r="M44" s="24"/>
      <c r="N44" s="24"/>
    </row>
    <row r="45" spans="1:17" x14ac:dyDescent="0.45">
      <c r="A45" s="27" t="s">
        <v>19</v>
      </c>
      <c r="B45" s="28"/>
      <c r="C45" s="28"/>
      <c r="D45" s="28"/>
      <c r="E45" s="28"/>
      <c r="F45" s="28"/>
      <c r="G45" s="28"/>
      <c r="H45" s="8">
        <f>SUMIF($B$3:$B$18,"森テック",$I$3:$I$18)+SUMIFS($I$3:$I$18,$B$3:$B$18,"&lt;&gt;森テック",$H$3:$H$18,"&lt;=1000000")</f>
        <v>4082590</v>
      </c>
      <c r="I45" s="23"/>
      <c r="J45" s="24"/>
      <c r="K45" s="24"/>
      <c r="L45" s="24"/>
      <c r="M45" s="24"/>
      <c r="N45" s="24"/>
    </row>
    <row r="46" spans="1:17" ht="18.600000000000001" thickBot="1" x14ac:dyDescent="0.5">
      <c r="A46" s="29" t="s">
        <v>20</v>
      </c>
      <c r="B46" s="30"/>
      <c r="C46" s="30"/>
      <c r="D46" s="30"/>
      <c r="E46" s="30"/>
      <c r="F46" s="30"/>
      <c r="G46" s="30"/>
      <c r="H46" s="18">
        <f>ROUND(AVERAGEIF($D$3:$D$18,"&lt;&gt;部品B",$H$3:$H$18),0)</f>
        <v>1292872</v>
      </c>
      <c r="I46" s="23"/>
      <c r="J46" s="24"/>
      <c r="K46" s="24"/>
      <c r="L46" s="24"/>
      <c r="M46" s="24"/>
      <c r="N46" s="24"/>
    </row>
  </sheetData>
  <sortState xmlns:xlrd2="http://schemas.microsoft.com/office/spreadsheetml/2017/richdata2" ref="A24:K28">
    <sortCondition descending="1" ref="J24:J28"/>
  </sortState>
  <mergeCells count="28">
    <mergeCell ref="T2:U2"/>
    <mergeCell ref="M11:N11"/>
    <mergeCell ref="M12:N12"/>
    <mergeCell ref="M10:N10"/>
    <mergeCell ref="O10:Q10"/>
    <mergeCell ref="M9:Q9"/>
    <mergeCell ref="O11:Q11"/>
    <mergeCell ref="O12:Q12"/>
    <mergeCell ref="M2:N2"/>
    <mergeCell ref="M13:Q13"/>
    <mergeCell ref="A1:K1"/>
    <mergeCell ref="A33:D33"/>
    <mergeCell ref="A40:G40"/>
    <mergeCell ref="A41:G41"/>
    <mergeCell ref="F33:H33"/>
    <mergeCell ref="I34:J36"/>
    <mergeCell ref="A22:K22"/>
    <mergeCell ref="M15:S15"/>
    <mergeCell ref="P2:Q2"/>
    <mergeCell ref="I44:N46"/>
    <mergeCell ref="A44:G44"/>
    <mergeCell ref="A45:G45"/>
    <mergeCell ref="A46:G46"/>
    <mergeCell ref="M16:R16"/>
    <mergeCell ref="M17:R17"/>
    <mergeCell ref="M18:R18"/>
    <mergeCell ref="M19:R19"/>
    <mergeCell ref="A42:G42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beerk</dc:creator>
  <cp:lastModifiedBy>beerk</cp:lastModifiedBy>
  <dcterms:created xsi:type="dcterms:W3CDTF">2020-05-08T01:50:26Z</dcterms:created>
  <dcterms:modified xsi:type="dcterms:W3CDTF">2020-05-12T10:45:29Z</dcterms:modified>
</cp:coreProperties>
</file>