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駿河学院\Excel検定\Excel131\"/>
    </mc:Choice>
  </mc:AlternateContent>
  <xr:revisionPtr revIDLastSave="0" documentId="8_{8C19ABC6-5809-4F59-8C61-049B9CB89764}" xr6:coauthVersionLast="47" xr6:coauthVersionMax="47" xr10:uidLastSave="{00000000-0000-0000-0000-000000000000}"/>
  <bookViews>
    <workbookView xWindow="-108" yWindow="-108" windowWidth="23256" windowHeight="12456" xr2:uid="{4BACDE0B-36DC-4506-BADD-8E4F2E45B8AC}"/>
  </bookViews>
  <sheets>
    <sheet name="Sheet1" sheetId="1" r:id="rId1"/>
  </sheets>
  <definedNames>
    <definedName name="_xlnm._FilterDatabase" localSheetId="0" hidden="1">Sheet1!$A$22:$L$28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3" i="1"/>
  <c r="G23" i="1" s="1"/>
  <c r="H23" i="1" s="1"/>
  <c r="D23" i="1"/>
  <c r="B23" i="1"/>
  <c r="F24" i="1"/>
  <c r="G24" i="1" s="1"/>
  <c r="H24" i="1" s="1"/>
  <c r="D24" i="1"/>
  <c r="B24" i="1"/>
  <c r="F26" i="1"/>
  <c r="G26" i="1" s="1"/>
  <c r="H26" i="1" s="1"/>
  <c r="D26" i="1"/>
  <c r="B26" i="1"/>
  <c r="F27" i="1"/>
  <c r="G27" i="1" s="1"/>
  <c r="D27" i="1"/>
  <c r="B27" i="1"/>
  <c r="F25" i="1"/>
  <c r="G25" i="1" s="1"/>
  <c r="D25" i="1"/>
  <c r="B25" i="1"/>
  <c r="E19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O23" i="1" l="1"/>
  <c r="O26" i="1"/>
  <c r="O25" i="1"/>
  <c r="O24" i="1"/>
  <c r="H27" i="1"/>
  <c r="H25" i="1"/>
  <c r="I23" i="1"/>
  <c r="J23" i="1" s="1"/>
  <c r="I26" i="1"/>
  <c r="J26" i="1" s="1"/>
  <c r="I24" i="1"/>
  <c r="J24" i="1" s="1"/>
  <c r="H14" i="1"/>
  <c r="I14" i="1" s="1"/>
  <c r="H10" i="1"/>
  <c r="I10" i="1" s="1"/>
  <c r="H8" i="1"/>
  <c r="I8" i="1" s="1"/>
  <c r="H5" i="1"/>
  <c r="I5" i="1" s="1"/>
  <c r="H18" i="1"/>
  <c r="I18" i="1" s="1"/>
  <c r="H9" i="1"/>
  <c r="I9" i="1" s="1"/>
  <c r="H7" i="1"/>
  <c r="I7" i="1" s="1"/>
  <c r="H6" i="1"/>
  <c r="I6" i="1" s="1"/>
  <c r="H12" i="1"/>
  <c r="I12" i="1" s="1"/>
  <c r="H4" i="1"/>
  <c r="I4" i="1" s="1"/>
  <c r="H17" i="1"/>
  <c r="I17" i="1" s="1"/>
  <c r="H16" i="1"/>
  <c r="I16" i="1" s="1"/>
  <c r="H15" i="1"/>
  <c r="I15" i="1" s="1"/>
  <c r="H13" i="1"/>
  <c r="I13" i="1" s="1"/>
  <c r="H3" i="1"/>
  <c r="H11" i="1"/>
  <c r="I11" i="1" s="1"/>
  <c r="L26" i="1" l="1"/>
  <c r="K26" i="1"/>
  <c r="K24" i="1"/>
  <c r="L24" i="1"/>
  <c r="K23" i="1"/>
  <c r="L23" i="1"/>
  <c r="H28" i="1"/>
  <c r="I25" i="1"/>
  <c r="J25" i="1" s="1"/>
  <c r="I27" i="1"/>
  <c r="J27" i="1" s="1"/>
  <c r="I3" i="1"/>
  <c r="J3" i="1" s="1"/>
  <c r="X26" i="1"/>
  <c r="X22" i="1"/>
  <c r="J10" i="1"/>
  <c r="J16" i="1"/>
  <c r="J5" i="1"/>
  <c r="J7" i="1"/>
  <c r="J4" i="1"/>
  <c r="J11" i="1"/>
  <c r="H19" i="1"/>
  <c r="J8" i="1"/>
  <c r="J15" i="1"/>
  <c r="J18" i="1"/>
  <c r="J14" i="1"/>
  <c r="J6" i="1"/>
  <c r="P26" i="1" s="1"/>
  <c r="J17" i="1"/>
  <c r="L17" i="1" s="1"/>
  <c r="J9" i="1"/>
  <c r="J13" i="1"/>
  <c r="J12" i="1"/>
  <c r="P25" i="1" l="1"/>
  <c r="P24" i="1"/>
  <c r="P23" i="1"/>
  <c r="J28" i="1"/>
  <c r="L25" i="1"/>
  <c r="K25" i="1"/>
  <c r="L27" i="1"/>
  <c r="K27" i="1"/>
  <c r="L13" i="1"/>
  <c r="X25" i="1"/>
  <c r="X21" i="1"/>
  <c r="L6" i="1"/>
  <c r="L11" i="1"/>
  <c r="K11" i="1"/>
  <c r="L14" i="1"/>
  <c r="K14" i="1"/>
  <c r="L5" i="1"/>
  <c r="K5" i="1"/>
  <c r="L4" i="1"/>
  <c r="K4" i="1"/>
  <c r="Q24" i="1" s="1"/>
  <c r="L18" i="1"/>
  <c r="K18" i="1"/>
  <c r="L16" i="1"/>
  <c r="K16" i="1"/>
  <c r="J19" i="1"/>
  <c r="L3" i="1"/>
  <c r="K3" i="1"/>
  <c r="Q23" i="1" s="1"/>
  <c r="L12" i="1"/>
  <c r="K12" i="1"/>
  <c r="L7" i="1"/>
  <c r="K7" i="1"/>
  <c r="L15" i="1"/>
  <c r="K15" i="1"/>
  <c r="L9" i="1"/>
  <c r="K9" i="1"/>
  <c r="L8" i="1"/>
  <c r="K8" i="1"/>
  <c r="L10" i="1"/>
  <c r="K10" i="1"/>
  <c r="K17" i="1"/>
  <c r="K13" i="1"/>
  <c r="K6" i="1"/>
  <c r="Q26" i="1" s="1"/>
  <c r="Q25" i="1" l="1"/>
  <c r="X23" i="1"/>
  <c r="K28" i="1"/>
  <c r="K19" i="1"/>
</calcChain>
</file>

<file path=xl/sharedStrings.xml><?xml version="1.0" encoding="utf-8"?>
<sst xmlns="http://schemas.openxmlformats.org/spreadsheetml/2006/main" count="95" uniqueCount="60">
  <si>
    <t>請求額一覧表</t>
    <rPh sb="0" eb="2">
      <t>セイキュウ</t>
    </rPh>
    <rPh sb="2" eb="3">
      <t>ガク</t>
    </rPh>
    <rPh sb="3" eb="5">
      <t>イチラン</t>
    </rPh>
    <rPh sb="5" eb="6">
      <t>ヒョウ</t>
    </rPh>
    <phoneticPr fontId="1"/>
  </si>
  <si>
    <t>顧ＣＯ</t>
    <rPh sb="0" eb="1">
      <t>コ</t>
    </rPh>
    <phoneticPr fontId="1"/>
  </si>
  <si>
    <t>顧客名</t>
    <rPh sb="0" eb="2">
      <t>コキャク</t>
    </rPh>
    <rPh sb="2" eb="3">
      <t>メイ</t>
    </rPh>
    <phoneticPr fontId="1"/>
  </si>
  <si>
    <t>商ＣＯ</t>
    <rPh sb="0" eb="1">
      <t>ショウ</t>
    </rPh>
    <phoneticPr fontId="1"/>
  </si>
  <si>
    <t>商品名</t>
    <rPh sb="0" eb="3">
      <t>ショウヒンメイ</t>
    </rPh>
    <phoneticPr fontId="1"/>
  </si>
  <si>
    <t>売上数</t>
    <rPh sb="0" eb="2">
      <t>ウリアゲ</t>
    </rPh>
    <rPh sb="2" eb="3">
      <t>スウ</t>
    </rPh>
    <phoneticPr fontId="1"/>
  </si>
  <si>
    <t>定価</t>
    <rPh sb="0" eb="2">
      <t>テイカ</t>
    </rPh>
    <phoneticPr fontId="1"/>
  </si>
  <si>
    <t>売価</t>
    <rPh sb="0" eb="2">
      <t>バイカ</t>
    </rPh>
    <phoneticPr fontId="1"/>
  </si>
  <si>
    <t>売上額</t>
    <rPh sb="0" eb="2">
      <t>ウリアゲ</t>
    </rPh>
    <rPh sb="2" eb="3">
      <t>ガク</t>
    </rPh>
    <phoneticPr fontId="1"/>
  </si>
  <si>
    <t>手数料率</t>
    <rPh sb="0" eb="3">
      <t>テスウリョウ</t>
    </rPh>
    <rPh sb="3" eb="4">
      <t>リツ</t>
    </rPh>
    <phoneticPr fontId="1"/>
  </si>
  <si>
    <t>手数料</t>
    <rPh sb="0" eb="3">
      <t>テスウリョウ</t>
    </rPh>
    <phoneticPr fontId="1"/>
  </si>
  <si>
    <t>請求額</t>
    <rPh sb="0" eb="2">
      <t>セイキュウ</t>
    </rPh>
    <rPh sb="2" eb="3">
      <t>ガク</t>
    </rPh>
    <phoneticPr fontId="1"/>
  </si>
  <si>
    <t>判定</t>
    <rPh sb="0" eb="2">
      <t>ハンテイ</t>
    </rPh>
    <phoneticPr fontId="1"/>
  </si>
  <si>
    <t>顧客テーブル</t>
    <rPh sb="0" eb="2">
      <t>コキャク</t>
    </rPh>
    <phoneticPr fontId="1"/>
  </si>
  <si>
    <t>宮前通販</t>
    <rPh sb="0" eb="2">
      <t>ミヤマエ</t>
    </rPh>
    <rPh sb="2" eb="4">
      <t>ツウハン</t>
    </rPh>
    <phoneticPr fontId="1"/>
  </si>
  <si>
    <t>川上商事</t>
    <rPh sb="0" eb="2">
      <t>カワカミ</t>
    </rPh>
    <rPh sb="2" eb="4">
      <t>ショウジ</t>
    </rPh>
    <phoneticPr fontId="1"/>
  </si>
  <si>
    <t>東北販売</t>
    <rPh sb="0" eb="2">
      <t>トウホク</t>
    </rPh>
    <rPh sb="2" eb="4">
      <t>ハンバイ</t>
    </rPh>
    <phoneticPr fontId="1"/>
  </si>
  <si>
    <t>朝日雑貨</t>
    <rPh sb="0" eb="2">
      <t>アサヒ</t>
    </rPh>
    <rPh sb="2" eb="4">
      <t>ザッカ</t>
    </rPh>
    <phoneticPr fontId="1"/>
  </si>
  <si>
    <t>商品テーブル</t>
    <rPh sb="0" eb="2">
      <t>ショウヒン</t>
    </rPh>
    <phoneticPr fontId="1"/>
  </si>
  <si>
    <t>商品Ａ</t>
    <rPh sb="0" eb="2">
      <t>ショウヒン</t>
    </rPh>
    <phoneticPr fontId="1"/>
  </si>
  <si>
    <t>商品Ｂ</t>
    <rPh sb="0" eb="2">
      <t>ショウヒン</t>
    </rPh>
    <phoneticPr fontId="1"/>
  </si>
  <si>
    <t>商品Ｃ</t>
    <rPh sb="0" eb="2">
      <t>ショウヒン</t>
    </rPh>
    <phoneticPr fontId="1"/>
  </si>
  <si>
    <t>商品Ｄ</t>
    <rPh sb="0" eb="2">
      <t>ショウヒン</t>
    </rPh>
    <phoneticPr fontId="1"/>
  </si>
  <si>
    <t>原価</t>
    <rPh sb="0" eb="2">
      <t>ゲンカ</t>
    </rPh>
    <phoneticPr fontId="1"/>
  </si>
  <si>
    <t>売価の計算式</t>
    <rPh sb="0" eb="2">
      <t>バイカ</t>
    </rPh>
    <rPh sb="3" eb="6">
      <t>ケイサンシキ</t>
    </rPh>
    <phoneticPr fontId="1"/>
  </si>
  <si>
    <t>400以上</t>
    <rPh sb="3" eb="5">
      <t>イジョウ</t>
    </rPh>
    <phoneticPr fontId="1"/>
  </si>
  <si>
    <t>それ以外</t>
    <rPh sb="2" eb="4">
      <t>イガイ</t>
    </rPh>
    <phoneticPr fontId="1"/>
  </si>
  <si>
    <t>定価×0.89</t>
    <rPh sb="0" eb="2">
      <t>テイカ</t>
    </rPh>
    <phoneticPr fontId="1"/>
  </si>
  <si>
    <t>定価×0.93</t>
    <rPh sb="0" eb="2">
      <t>テイカ</t>
    </rPh>
    <phoneticPr fontId="1"/>
  </si>
  <si>
    <t>手数料率表</t>
    <rPh sb="0" eb="3">
      <t>テスウリョウ</t>
    </rPh>
    <rPh sb="3" eb="4">
      <t>リツ</t>
    </rPh>
    <rPh sb="4" eb="5">
      <t>ヒョウ</t>
    </rPh>
    <phoneticPr fontId="1"/>
  </si>
  <si>
    <t>400,000以上　600,000未満</t>
    <rPh sb="7" eb="9">
      <t>イジョウ</t>
    </rPh>
    <rPh sb="17" eb="19">
      <t>ミマン</t>
    </rPh>
    <phoneticPr fontId="1"/>
  </si>
  <si>
    <t xml:space="preserve">      1以上　400,000未満</t>
    <rPh sb="7" eb="9">
      <t>イジョウ</t>
    </rPh>
    <rPh sb="17" eb="19">
      <t>ミマン</t>
    </rPh>
    <phoneticPr fontId="1"/>
  </si>
  <si>
    <t>600,000以上</t>
    <rPh sb="7" eb="9">
      <t>イジョウ</t>
    </rPh>
    <phoneticPr fontId="1"/>
  </si>
  <si>
    <t>判定表</t>
    <rPh sb="0" eb="2">
      <t>ハンテイ</t>
    </rPh>
    <rPh sb="2" eb="3">
      <t>ヒョウ</t>
    </rPh>
    <phoneticPr fontId="1"/>
  </si>
  <si>
    <t>1,500未満　かつ　12,000以上</t>
    <rPh sb="5" eb="7">
      <t>ミマン</t>
    </rPh>
    <rPh sb="17" eb="19">
      <t>イジョウ</t>
    </rPh>
    <phoneticPr fontId="1"/>
  </si>
  <si>
    <t>＊＊</t>
    <phoneticPr fontId="1"/>
  </si>
  <si>
    <t>＊</t>
    <phoneticPr fontId="1"/>
  </si>
  <si>
    <t>売価　　　　　　手数料</t>
    <rPh sb="0" eb="2">
      <t>バイカ</t>
    </rPh>
    <rPh sb="8" eb="11">
      <t>テスウリョウ</t>
    </rPh>
    <phoneticPr fontId="1"/>
  </si>
  <si>
    <t>10番台</t>
    <rPh sb="2" eb="4">
      <t>バンダイ</t>
    </rPh>
    <phoneticPr fontId="1"/>
  </si>
  <si>
    <t>20番台</t>
    <rPh sb="2" eb="4">
      <t>バンダイ</t>
    </rPh>
    <phoneticPr fontId="1"/>
  </si>
  <si>
    <t>合計</t>
    <rPh sb="0" eb="2">
      <t>ゴウケイ</t>
    </rPh>
    <phoneticPr fontId="1"/>
  </si>
  <si>
    <t>商品集計表</t>
    <rPh sb="0" eb="5">
      <t>ショウヒンシュウケイヒョウ</t>
    </rPh>
    <phoneticPr fontId="1"/>
  </si>
  <si>
    <t>商品名</t>
    <rPh sb="0" eb="3">
      <t>ショウヒンメイ</t>
    </rPh>
    <phoneticPr fontId="1"/>
  </si>
  <si>
    <t>手数料</t>
    <rPh sb="0" eb="3">
      <t>テスウリョウ</t>
    </rPh>
    <phoneticPr fontId="1"/>
  </si>
  <si>
    <t>売上数</t>
    <rPh sb="0" eb="3">
      <t>ウリアゲスウ</t>
    </rPh>
    <phoneticPr fontId="1"/>
  </si>
  <si>
    <t>請求額</t>
    <rPh sb="0" eb="3">
      <t>セイキュウガク</t>
    </rPh>
    <phoneticPr fontId="1"/>
  </si>
  <si>
    <t>請求額一覧表（東北販売以外・売上額が50万以上）</t>
    <rPh sb="0" eb="2">
      <t>セイキュウ</t>
    </rPh>
    <rPh sb="2" eb="3">
      <t>ガク</t>
    </rPh>
    <rPh sb="3" eb="5">
      <t>イチラン</t>
    </rPh>
    <rPh sb="5" eb="6">
      <t>ヒョウ</t>
    </rPh>
    <rPh sb="7" eb="11">
      <t>トウホクハンバイ</t>
    </rPh>
    <rPh sb="11" eb="13">
      <t>イガイ</t>
    </rPh>
    <rPh sb="14" eb="17">
      <t>ウリアゲガク</t>
    </rPh>
    <rPh sb="20" eb="23">
      <t>マンイジョウ</t>
    </rPh>
    <phoneticPr fontId="1"/>
  </si>
  <si>
    <t>宮前通販以外で売上数が500以上の手数料の合計</t>
    <rPh sb="0" eb="4">
      <t>ミヤマエツウハン</t>
    </rPh>
    <rPh sb="4" eb="6">
      <t>イガイ</t>
    </rPh>
    <rPh sb="7" eb="10">
      <t>ウリアゲスウ</t>
    </rPh>
    <rPh sb="14" eb="16">
      <t>イジョウ</t>
    </rPh>
    <rPh sb="17" eb="20">
      <t>テスウリョウ</t>
    </rPh>
    <rPh sb="21" eb="23">
      <t>ゴウケイ</t>
    </rPh>
    <phoneticPr fontId="1"/>
  </si>
  <si>
    <t>定価が1,500円以下の売上額の最大</t>
    <rPh sb="0" eb="2">
      <t>テイカ</t>
    </rPh>
    <rPh sb="8" eb="11">
      <t>エンイカ</t>
    </rPh>
    <rPh sb="12" eb="15">
      <t>ウリアゲガク</t>
    </rPh>
    <rPh sb="16" eb="18">
      <t>サイダイ</t>
    </rPh>
    <phoneticPr fontId="1"/>
  </si>
  <si>
    <t>別解答</t>
    <rPh sb="0" eb="3">
      <t>ベツカイトウ</t>
    </rPh>
    <phoneticPr fontId="1"/>
  </si>
  <si>
    <t>顧客名</t>
    <rPh sb="0" eb="3">
      <t>コキャクメイ</t>
    </rPh>
    <phoneticPr fontId="1"/>
  </si>
  <si>
    <t>&lt;&gt;宮前通販</t>
    <rPh sb="2" eb="6">
      <t>ミヤマエツウハン</t>
    </rPh>
    <phoneticPr fontId="1"/>
  </si>
  <si>
    <t>&gt;=500</t>
    <phoneticPr fontId="1"/>
  </si>
  <si>
    <t>定価</t>
    <rPh sb="0" eb="2">
      <t>テイカ</t>
    </rPh>
    <phoneticPr fontId="1"/>
  </si>
  <si>
    <t>川上商事または売価が1,400円以上の請求額の平均</t>
    <rPh sb="0" eb="4">
      <t>カワカミショウジ</t>
    </rPh>
    <rPh sb="7" eb="9">
      <t>バイカ</t>
    </rPh>
    <rPh sb="15" eb="18">
      <t>エンイジョウ</t>
    </rPh>
    <rPh sb="19" eb="21">
      <t>セイキュウ</t>
    </rPh>
    <rPh sb="21" eb="22">
      <t>ガク</t>
    </rPh>
    <rPh sb="23" eb="25">
      <t>ヘイキン</t>
    </rPh>
    <phoneticPr fontId="1"/>
  </si>
  <si>
    <t>川上商事</t>
    <rPh sb="0" eb="4">
      <t>カワカミショウジ</t>
    </rPh>
    <phoneticPr fontId="1"/>
  </si>
  <si>
    <t>売価</t>
    <rPh sb="0" eb="2">
      <t>バイカ</t>
    </rPh>
    <phoneticPr fontId="1"/>
  </si>
  <si>
    <t>&gt;=1400</t>
    <phoneticPr fontId="1"/>
  </si>
  <si>
    <t>&lt;=1500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</si>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</sst>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176" fontId="2" fillId="0" borderId="1" xfId="2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2" applyNumberFormat="1" applyFont="1" applyFill="1" applyBorder="1">
      <alignment vertical="center"/>
    </xf>
    <xf numFmtId="38" fontId="2" fillId="0" borderId="1" xfId="1" applyFont="1" applyBorder="1">
      <alignment vertical="center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38" fontId="2" fillId="0" borderId="9" xfId="1" applyFont="1" applyBorder="1">
      <alignment vertical="center"/>
    </xf>
    <xf numFmtId="0" fontId="2" fillId="0" borderId="10" xfId="0" applyFont="1" applyBorder="1">
      <alignment vertical="center"/>
    </xf>
    <xf numFmtId="177" fontId="2" fillId="2" borderId="1" xfId="1" applyNumberFormat="1" applyFont="1" applyFill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38" fontId="2" fillId="0" borderId="7" xfId="1" applyFont="1" applyBorder="1">
      <alignment vertical="center"/>
    </xf>
    <xf numFmtId="0" fontId="2" fillId="0" borderId="8" xfId="0" applyFont="1" applyBorder="1" applyAlignment="1">
      <alignment horizontal="left" vertical="center"/>
    </xf>
    <xf numFmtId="38" fontId="2" fillId="0" borderId="10" xfId="1" applyFont="1" applyBorder="1">
      <alignment vertical="center"/>
    </xf>
    <xf numFmtId="38" fontId="2" fillId="0" borderId="5" xfId="1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商品別の手数料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Sheet1!$P$22</c:f>
              <c:strCache>
                <c:ptCount val="1"/>
                <c:pt idx="0">
                  <c:v>手数料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Sheet1!$N$23:$N$26</c:f>
              <c:strCache>
                <c:ptCount val="4"/>
                <c:pt idx="0">
                  <c:v>商品Ａ</c:v>
                </c:pt>
                <c:pt idx="1">
                  <c:v>商品Ｂ</c:v>
                </c:pt>
                <c:pt idx="2">
                  <c:v>商品Ｃ</c:v>
                </c:pt>
                <c:pt idx="3">
                  <c:v>商品Ｄ</c:v>
                </c:pt>
              </c:strCache>
            </c:strRef>
          </c:cat>
          <c:val>
            <c:numRef>
              <c:f>Sheet1!$P$23:$P$26</c:f>
              <c:numCache>
                <c:formatCode>#,##0_);[Red]\(#,##0\)</c:formatCode>
                <c:ptCount val="4"/>
                <c:pt idx="0">
                  <c:v>47100</c:v>
                </c:pt>
                <c:pt idx="1">
                  <c:v>47500</c:v>
                </c:pt>
                <c:pt idx="2">
                  <c:v>79600</c:v>
                </c:pt>
                <c:pt idx="3">
                  <c:v>51300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E-46F4-8367-DA2C3BD61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990016"/>
        <c:axId val="534519504"/>
      </c:barChart>
      <c:catAx>
        <c:axId val="52799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519504"/>
        <c:crosses val="autoZero"/>
        <c:auto val="1"/>
        <c:lblAlgn val="ctr"/>
        <c:lblOffset val="100"/>
        <c:noMultiLvlLbl val="0"/>
      </c:catAx>
      <c:valAx>
        <c:axId val="53451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99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414867</xdr:colOff>
      <xdr:row>26</xdr:row>
      <xdr:rowOff>165100</xdr:rowOff>
    </xdr:from>
    <xdr:to>
      <xdr:col>19</xdr:col>
      <xdr:colOff>237067</xdr:colOff>
      <xdr:row>39</xdr:row>
      <xdr:rowOff>84667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5C733B-B7BA-F2ED-01F6-6C49D914AB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10FD-3823-49CF-A2D4-680DDAF55445}">
  <dimension ref="A1:X28"/>
  <sheetViews>
    <sheetView tabSelected="1" zoomScale="90" zoomScaleNormal="90" workbookViewId="0">
      <selection activeCell="A21" sqref="A21:L21"/>
    </sheetView>
  </sheetViews>
  <sheetFormatPr defaultColWidth="9" defaultRowHeight="15" customHeight="1" x14ac:dyDescent="0.45"/>
  <cols>
    <col min="1" max="1" width="7.5" style="1" bestFit="1" customWidth="1"/>
    <col min="2" max="2" width="9.5" style="1" bestFit="1" customWidth="1"/>
    <col min="3" max="5" width="7.5" style="1" bestFit="1" customWidth="1"/>
    <col min="6" max="7" width="6.5" style="1" bestFit="1" customWidth="1"/>
    <col min="8" max="8" width="11.69921875" style="1" bestFit="1" customWidth="1"/>
    <col min="9" max="9" width="9.5" style="1" bestFit="1" customWidth="1"/>
    <col min="10" max="10" width="8.5" style="1" bestFit="1" customWidth="1"/>
    <col min="11" max="11" width="11.69921875" style="1" bestFit="1" customWidth="1"/>
    <col min="12" max="12" width="5.5" style="1" bestFit="1" customWidth="1"/>
    <col min="13" max="13" width="5.8984375" style="1" bestFit="1" customWidth="1"/>
    <col min="14" max="15" width="9.5" style="1" bestFit="1" customWidth="1"/>
    <col min="16" max="16" width="7.5" style="1" bestFit="1" customWidth="1"/>
    <col min="17" max="17" width="10.5" style="1" bestFit="1" customWidth="1"/>
    <col min="18" max="18" width="7.5" style="1" bestFit="1" customWidth="1"/>
    <col min="19" max="19" width="11.69921875" style="1" bestFit="1" customWidth="1"/>
    <col min="20" max="20" width="7.5" style="1" bestFit="1" customWidth="1"/>
    <col min="21" max="21" width="9.5" style="1" bestFit="1" customWidth="1"/>
    <col min="22" max="22" width="11.69921875" style="1" bestFit="1" customWidth="1"/>
    <col min="23" max="23" width="7.5" style="1" bestFit="1" customWidth="1"/>
    <col min="24" max="24" width="8.5" style="1" bestFit="1" customWidth="1"/>
    <col min="25" max="16384" width="9" style="1"/>
  </cols>
  <sheetData>
    <row r="1" spans="1:23" ht="15" customHeight="1" thickBot="1" x14ac:dyDescent="0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N1" s="44" t="s">
        <v>13</v>
      </c>
      <c r="O1" s="44"/>
      <c r="Q1" s="44" t="s">
        <v>18</v>
      </c>
      <c r="R1" s="44"/>
      <c r="S1" s="44"/>
      <c r="U1" s="44" t="s">
        <v>24</v>
      </c>
      <c r="V1" s="44"/>
    </row>
    <row r="2" spans="1:23" ht="15" customHeight="1" x14ac:dyDescent="0.4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3" t="s">
        <v>12</v>
      </c>
      <c r="N2" s="3" t="s">
        <v>1</v>
      </c>
      <c r="O2" s="3" t="s">
        <v>2</v>
      </c>
      <c r="Q2" s="3" t="s">
        <v>3</v>
      </c>
      <c r="R2" s="3" t="s">
        <v>4</v>
      </c>
      <c r="S2" s="3" t="s">
        <v>23</v>
      </c>
      <c r="U2" s="3" t="s">
        <v>5</v>
      </c>
      <c r="V2" s="3" t="s">
        <v>7</v>
      </c>
    </row>
    <row r="3" spans="1:23" ht="15" customHeight="1" x14ac:dyDescent="0.45">
      <c r="A3" s="14">
        <v>101</v>
      </c>
      <c r="B3" s="2" t="str">
        <f>VLOOKUP($A3,$N$3:$O$6,2,0)</f>
        <v>宮前通販</v>
      </c>
      <c r="C3" s="2">
        <v>11</v>
      </c>
      <c r="D3" s="2" t="str">
        <f>VLOOKUP($C3,$Q$3:$S$6,2,0)</f>
        <v>商品Ａ</v>
      </c>
      <c r="E3" s="2">
        <v>600</v>
      </c>
      <c r="F3" s="8">
        <f>ROUNDDOWN(VLOOKUP($C3,$Q$3:$S$6,3,0)*1.38,-1)</f>
        <v>1190</v>
      </c>
      <c r="G3" s="8">
        <f>ROUND(IF(E3&gt;=400,F3*0.89,F3*0.93),-1)</f>
        <v>1060</v>
      </c>
      <c r="H3" s="9">
        <f>G3*E3</f>
        <v>636000</v>
      </c>
      <c r="I3" s="5">
        <f>VLOOKUP(H3,$N$17:$P$19,INT(C3/10)+1,1)</f>
        <v>1.7000000000000001E-2</v>
      </c>
      <c r="J3" s="8">
        <f>ROUNDDOWN(H3*I3,-2)</f>
        <v>10800</v>
      </c>
      <c r="K3" s="10">
        <f>H3+J3</f>
        <v>646800</v>
      </c>
      <c r="L3" s="33" t="str">
        <f>IF(AND(G3&lt;1500,J3&gt;=12000),"＊＊","＊")</f>
        <v>＊</v>
      </c>
      <c r="N3" s="2">
        <v>101</v>
      </c>
      <c r="O3" s="2" t="s">
        <v>14</v>
      </c>
      <c r="Q3" s="3">
        <v>11</v>
      </c>
      <c r="R3" s="3" t="s">
        <v>19</v>
      </c>
      <c r="S3" s="4">
        <v>869</v>
      </c>
      <c r="U3" s="2" t="s">
        <v>25</v>
      </c>
      <c r="V3" s="2" t="s">
        <v>27</v>
      </c>
    </row>
    <row r="4" spans="1:23" ht="15" customHeight="1" x14ac:dyDescent="0.45">
      <c r="A4" s="14">
        <v>101</v>
      </c>
      <c r="B4" s="2" t="str">
        <f t="shared" ref="B4:B18" si="0">VLOOKUP($A4,$N$3:$O$6,2,0)</f>
        <v>宮前通販</v>
      </c>
      <c r="C4" s="2">
        <v>12</v>
      </c>
      <c r="D4" s="2" t="str">
        <f t="shared" ref="D4:D18" si="1">VLOOKUP($C4,$Q$3:$S$6,2,0)</f>
        <v>商品Ｂ</v>
      </c>
      <c r="E4" s="2">
        <v>376</v>
      </c>
      <c r="F4" s="8">
        <f t="shared" ref="F4:F18" si="2">ROUNDDOWN(VLOOKUP($C4,$Q$3:$S$6,3,0)*1.38,-1)</f>
        <v>1350</v>
      </c>
      <c r="G4" s="8">
        <f t="shared" ref="G4:G18" si="3">ROUND(IF(E4&gt;=400,F4*0.89,F4*0.93),-1)</f>
        <v>1260</v>
      </c>
      <c r="H4" s="9">
        <f t="shared" ref="H4:H18" si="4">G4*E4</f>
        <v>473760</v>
      </c>
      <c r="I4" s="5">
        <f t="shared" ref="I4:I18" si="5">VLOOKUP(H4,$N$17:$P$19,INT(C4/10)+1,1)</f>
        <v>2.8000000000000001E-2</v>
      </c>
      <c r="J4" s="8">
        <f t="shared" ref="J4:J18" si="6">ROUNDDOWN(H4*I4,-2)</f>
        <v>13200</v>
      </c>
      <c r="K4" s="10">
        <f t="shared" ref="K4:K18" si="7">H4+J4</f>
        <v>486960</v>
      </c>
      <c r="L4" s="33" t="str">
        <f t="shared" ref="L4:L18" si="8">IF(AND(G4&lt;1500,J4&gt;=12000),"＊＊","＊")</f>
        <v>＊＊</v>
      </c>
      <c r="N4" s="2">
        <v>102</v>
      </c>
      <c r="O4" s="2" t="s">
        <v>15</v>
      </c>
      <c r="Q4" s="3">
        <v>12</v>
      </c>
      <c r="R4" s="3" t="s">
        <v>20</v>
      </c>
      <c r="S4" s="4">
        <v>983</v>
      </c>
      <c r="U4" s="2" t="s">
        <v>26</v>
      </c>
      <c r="V4" s="2" t="s">
        <v>28</v>
      </c>
    </row>
    <row r="5" spans="1:23" ht="15" customHeight="1" x14ac:dyDescent="0.45">
      <c r="A5" s="14">
        <v>101</v>
      </c>
      <c r="B5" s="2" t="str">
        <f t="shared" si="0"/>
        <v>宮前通販</v>
      </c>
      <c r="C5" s="2">
        <v>21</v>
      </c>
      <c r="D5" s="2" t="str">
        <f t="shared" si="1"/>
        <v>商品Ｃ</v>
      </c>
      <c r="E5" s="2">
        <v>419</v>
      </c>
      <c r="F5" s="8">
        <f t="shared" si="2"/>
        <v>2590</v>
      </c>
      <c r="G5" s="8">
        <f t="shared" si="3"/>
        <v>2310</v>
      </c>
      <c r="H5" s="9">
        <f t="shared" si="4"/>
        <v>967890</v>
      </c>
      <c r="I5" s="5">
        <f t="shared" si="5"/>
        <v>1.9E-2</v>
      </c>
      <c r="J5" s="8">
        <f t="shared" si="6"/>
        <v>18300</v>
      </c>
      <c r="K5" s="10">
        <f t="shared" si="7"/>
        <v>986190</v>
      </c>
      <c r="L5" s="33" t="str">
        <f t="shared" si="8"/>
        <v>＊</v>
      </c>
      <c r="N5" s="2">
        <v>103</v>
      </c>
      <c r="O5" s="2" t="s">
        <v>16</v>
      </c>
      <c r="Q5" s="3">
        <v>21</v>
      </c>
      <c r="R5" s="3" t="s">
        <v>21</v>
      </c>
      <c r="S5" s="4">
        <v>1880</v>
      </c>
    </row>
    <row r="6" spans="1:23" ht="15" customHeight="1" x14ac:dyDescent="0.45">
      <c r="A6" s="14">
        <v>101</v>
      </c>
      <c r="B6" s="2" t="str">
        <f t="shared" si="0"/>
        <v>宮前通販</v>
      </c>
      <c r="C6" s="2">
        <v>22</v>
      </c>
      <c r="D6" s="2" t="str">
        <f t="shared" si="1"/>
        <v>商品Ｄ</v>
      </c>
      <c r="E6" s="2">
        <v>275</v>
      </c>
      <c r="F6" s="8">
        <f t="shared" si="2"/>
        <v>1550</v>
      </c>
      <c r="G6" s="8">
        <f t="shared" si="3"/>
        <v>1440</v>
      </c>
      <c r="H6" s="9">
        <f t="shared" si="4"/>
        <v>396000</v>
      </c>
      <c r="I6" s="5">
        <f t="shared" si="5"/>
        <v>0.03</v>
      </c>
      <c r="J6" s="8">
        <f t="shared" si="6"/>
        <v>11800</v>
      </c>
      <c r="K6" s="10">
        <f t="shared" si="7"/>
        <v>407800</v>
      </c>
      <c r="L6" s="33" t="str">
        <f t="shared" si="8"/>
        <v>＊</v>
      </c>
      <c r="N6" s="2">
        <v>104</v>
      </c>
      <c r="O6" s="2" t="s">
        <v>17</v>
      </c>
      <c r="Q6" s="3">
        <v>22</v>
      </c>
      <c r="R6" s="3" t="s">
        <v>22</v>
      </c>
      <c r="S6" s="4">
        <v>1126</v>
      </c>
    </row>
    <row r="7" spans="1:23" ht="15" customHeight="1" x14ac:dyDescent="0.45">
      <c r="A7" s="14">
        <v>102</v>
      </c>
      <c r="B7" s="2" t="str">
        <f t="shared" si="0"/>
        <v>川上商事</v>
      </c>
      <c r="C7" s="2">
        <v>11</v>
      </c>
      <c r="D7" s="2" t="str">
        <f t="shared" si="1"/>
        <v>商品Ａ</v>
      </c>
      <c r="E7" s="2">
        <v>317</v>
      </c>
      <c r="F7" s="8">
        <f t="shared" si="2"/>
        <v>1190</v>
      </c>
      <c r="G7" s="8">
        <f t="shared" si="3"/>
        <v>1110</v>
      </c>
      <c r="H7" s="9">
        <f t="shared" si="4"/>
        <v>351870</v>
      </c>
      <c r="I7" s="5">
        <f t="shared" si="5"/>
        <v>3.5000000000000003E-2</v>
      </c>
      <c r="J7" s="8">
        <f t="shared" si="6"/>
        <v>12300</v>
      </c>
      <c r="K7" s="10">
        <f t="shared" si="7"/>
        <v>364170</v>
      </c>
      <c r="L7" s="33" t="str">
        <f t="shared" si="8"/>
        <v>＊＊</v>
      </c>
    </row>
    <row r="8" spans="1:23" ht="15" customHeight="1" x14ac:dyDescent="0.45">
      <c r="A8" s="14">
        <v>102</v>
      </c>
      <c r="B8" s="2" t="str">
        <f t="shared" si="0"/>
        <v>川上商事</v>
      </c>
      <c r="C8" s="2">
        <v>12</v>
      </c>
      <c r="D8" s="2" t="str">
        <f t="shared" si="1"/>
        <v>商品Ｂ</v>
      </c>
      <c r="E8" s="2">
        <v>206</v>
      </c>
      <c r="F8" s="8">
        <f t="shared" si="2"/>
        <v>1350</v>
      </c>
      <c r="G8" s="8">
        <f t="shared" si="3"/>
        <v>1260</v>
      </c>
      <c r="H8" s="9">
        <f t="shared" si="4"/>
        <v>259560</v>
      </c>
      <c r="I8" s="5">
        <f t="shared" si="5"/>
        <v>3.5000000000000003E-2</v>
      </c>
      <c r="J8" s="8">
        <f t="shared" si="6"/>
        <v>9000</v>
      </c>
      <c r="K8" s="10">
        <f t="shared" si="7"/>
        <v>268560</v>
      </c>
      <c r="L8" s="33" t="str">
        <f t="shared" si="8"/>
        <v>＊</v>
      </c>
      <c r="N8" s="42" t="s">
        <v>29</v>
      </c>
      <c r="O8" s="42"/>
      <c r="P8" s="42"/>
      <c r="Q8" s="42"/>
      <c r="R8" s="42"/>
      <c r="T8" s="44" t="s">
        <v>33</v>
      </c>
      <c r="U8" s="44"/>
      <c r="V8" s="44"/>
      <c r="W8" s="44"/>
    </row>
    <row r="9" spans="1:23" ht="15" customHeight="1" x14ac:dyDescent="0.45">
      <c r="A9" s="14">
        <v>102</v>
      </c>
      <c r="B9" s="2" t="str">
        <f t="shared" si="0"/>
        <v>川上商事</v>
      </c>
      <c r="C9" s="2">
        <v>21</v>
      </c>
      <c r="D9" s="2" t="str">
        <f t="shared" si="1"/>
        <v>商品Ｃ</v>
      </c>
      <c r="E9" s="2">
        <v>400</v>
      </c>
      <c r="F9" s="8">
        <f t="shared" si="2"/>
        <v>2590</v>
      </c>
      <c r="G9" s="8">
        <f t="shared" si="3"/>
        <v>2310</v>
      </c>
      <c r="H9" s="9">
        <f t="shared" si="4"/>
        <v>924000</v>
      </c>
      <c r="I9" s="5">
        <f t="shared" si="5"/>
        <v>1.9E-2</v>
      </c>
      <c r="J9" s="8">
        <f t="shared" si="6"/>
        <v>17500</v>
      </c>
      <c r="K9" s="10">
        <f t="shared" si="7"/>
        <v>941500</v>
      </c>
      <c r="L9" s="33" t="str">
        <f t="shared" si="8"/>
        <v>＊</v>
      </c>
      <c r="N9" s="41" t="s">
        <v>8</v>
      </c>
      <c r="O9" s="41"/>
      <c r="P9" s="41"/>
      <c r="Q9" s="41" t="s">
        <v>3</v>
      </c>
      <c r="R9" s="41"/>
      <c r="T9" s="41" t="s">
        <v>37</v>
      </c>
      <c r="U9" s="41"/>
      <c r="V9" s="41"/>
      <c r="W9" s="2" t="s">
        <v>12</v>
      </c>
    </row>
    <row r="10" spans="1:23" ht="15" customHeight="1" x14ac:dyDescent="0.45">
      <c r="A10" s="14">
        <v>102</v>
      </c>
      <c r="B10" s="2" t="str">
        <f t="shared" si="0"/>
        <v>川上商事</v>
      </c>
      <c r="C10" s="2">
        <v>22</v>
      </c>
      <c r="D10" s="2" t="str">
        <f t="shared" si="1"/>
        <v>商品Ｄ</v>
      </c>
      <c r="E10" s="2">
        <v>346</v>
      </c>
      <c r="F10" s="8">
        <f t="shared" si="2"/>
        <v>1550</v>
      </c>
      <c r="G10" s="8">
        <f t="shared" si="3"/>
        <v>1440</v>
      </c>
      <c r="H10" s="9">
        <f t="shared" si="4"/>
        <v>498240</v>
      </c>
      <c r="I10" s="5">
        <f t="shared" si="5"/>
        <v>2.4E-2</v>
      </c>
      <c r="J10" s="8">
        <f t="shared" si="6"/>
        <v>11900</v>
      </c>
      <c r="K10" s="10">
        <f t="shared" si="7"/>
        <v>510140</v>
      </c>
      <c r="L10" s="33" t="str">
        <f t="shared" si="8"/>
        <v>＊</v>
      </c>
      <c r="N10" s="41"/>
      <c r="O10" s="41"/>
      <c r="P10" s="41"/>
      <c r="Q10" s="3" t="s">
        <v>38</v>
      </c>
      <c r="R10" s="3" t="s">
        <v>39</v>
      </c>
      <c r="T10" s="40" t="s">
        <v>34</v>
      </c>
      <c r="U10" s="40"/>
      <c r="V10" s="40"/>
      <c r="W10" s="2" t="s">
        <v>35</v>
      </c>
    </row>
    <row r="11" spans="1:23" ht="15" customHeight="1" x14ac:dyDescent="0.45">
      <c r="A11" s="14">
        <v>103</v>
      </c>
      <c r="B11" s="2" t="str">
        <f t="shared" si="0"/>
        <v>東北販売</v>
      </c>
      <c r="C11" s="2">
        <v>11</v>
      </c>
      <c r="D11" s="2" t="str">
        <f t="shared" si="1"/>
        <v>商品Ａ</v>
      </c>
      <c r="E11" s="2">
        <v>298</v>
      </c>
      <c r="F11" s="8">
        <f t="shared" si="2"/>
        <v>1190</v>
      </c>
      <c r="G11" s="8">
        <f t="shared" si="3"/>
        <v>1110</v>
      </c>
      <c r="H11" s="9">
        <f t="shared" si="4"/>
        <v>330780</v>
      </c>
      <c r="I11" s="5">
        <f t="shared" si="5"/>
        <v>3.5000000000000003E-2</v>
      </c>
      <c r="J11" s="8">
        <f t="shared" si="6"/>
        <v>11500</v>
      </c>
      <c r="K11" s="10">
        <f t="shared" si="7"/>
        <v>342280</v>
      </c>
      <c r="L11" s="33" t="str">
        <f t="shared" si="8"/>
        <v>＊</v>
      </c>
      <c r="N11" s="40" t="s">
        <v>31</v>
      </c>
      <c r="O11" s="40"/>
      <c r="P11" s="40"/>
      <c r="Q11" s="5">
        <v>3.5000000000000003E-2</v>
      </c>
      <c r="R11" s="5">
        <v>0.03</v>
      </c>
      <c r="T11" s="40" t="s">
        <v>26</v>
      </c>
      <c r="U11" s="40"/>
      <c r="V11" s="40"/>
      <c r="W11" s="2" t="s">
        <v>36</v>
      </c>
    </row>
    <row r="12" spans="1:23" ht="15" customHeight="1" x14ac:dyDescent="0.45">
      <c r="A12" s="14">
        <v>103</v>
      </c>
      <c r="B12" s="2" t="str">
        <f t="shared" si="0"/>
        <v>東北販売</v>
      </c>
      <c r="C12" s="2">
        <v>12</v>
      </c>
      <c r="D12" s="2" t="str">
        <f t="shared" si="1"/>
        <v>商品Ｂ</v>
      </c>
      <c r="E12" s="2">
        <v>451</v>
      </c>
      <c r="F12" s="8">
        <f t="shared" si="2"/>
        <v>1350</v>
      </c>
      <c r="G12" s="8">
        <f t="shared" si="3"/>
        <v>1200</v>
      </c>
      <c r="H12" s="9">
        <f t="shared" si="4"/>
        <v>541200</v>
      </c>
      <c r="I12" s="5">
        <f t="shared" si="5"/>
        <v>2.8000000000000001E-2</v>
      </c>
      <c r="J12" s="8">
        <f t="shared" si="6"/>
        <v>15100</v>
      </c>
      <c r="K12" s="10">
        <f t="shared" si="7"/>
        <v>556300</v>
      </c>
      <c r="L12" s="33" t="str">
        <f t="shared" si="8"/>
        <v>＊＊</v>
      </c>
      <c r="N12" s="40" t="s">
        <v>30</v>
      </c>
      <c r="O12" s="40"/>
      <c r="P12" s="40"/>
      <c r="Q12" s="5">
        <v>2.8000000000000001E-2</v>
      </c>
      <c r="R12" s="5">
        <v>2.4E-2</v>
      </c>
    </row>
    <row r="13" spans="1:23" ht="15" customHeight="1" x14ac:dyDescent="0.45">
      <c r="A13" s="14">
        <v>103</v>
      </c>
      <c r="B13" s="2" t="str">
        <f t="shared" si="0"/>
        <v>東北販売</v>
      </c>
      <c r="C13" s="2">
        <v>21</v>
      </c>
      <c r="D13" s="2" t="str">
        <f t="shared" si="1"/>
        <v>商品Ｃ</v>
      </c>
      <c r="E13" s="2">
        <v>685</v>
      </c>
      <c r="F13" s="8">
        <f t="shared" si="2"/>
        <v>2590</v>
      </c>
      <c r="G13" s="8">
        <f t="shared" si="3"/>
        <v>2310</v>
      </c>
      <c r="H13" s="9">
        <f t="shared" si="4"/>
        <v>1582350</v>
      </c>
      <c r="I13" s="5">
        <f t="shared" si="5"/>
        <v>1.9E-2</v>
      </c>
      <c r="J13" s="8">
        <f t="shared" si="6"/>
        <v>30000</v>
      </c>
      <c r="K13" s="10">
        <f t="shared" si="7"/>
        <v>1612350</v>
      </c>
      <c r="L13" s="33" t="str">
        <f t="shared" si="8"/>
        <v>＊</v>
      </c>
      <c r="N13" s="40" t="s">
        <v>32</v>
      </c>
      <c r="O13" s="40"/>
      <c r="P13" s="40"/>
      <c r="Q13" s="5">
        <v>1.7000000000000001E-2</v>
      </c>
      <c r="R13" s="5">
        <v>1.9E-2</v>
      </c>
    </row>
    <row r="14" spans="1:23" ht="15" customHeight="1" x14ac:dyDescent="0.45">
      <c r="A14" s="14">
        <v>103</v>
      </c>
      <c r="B14" s="2" t="str">
        <f t="shared" si="0"/>
        <v>東北販売</v>
      </c>
      <c r="C14" s="2">
        <v>22</v>
      </c>
      <c r="D14" s="2" t="str">
        <f t="shared" si="1"/>
        <v>商品Ｄ</v>
      </c>
      <c r="E14" s="2">
        <v>615</v>
      </c>
      <c r="F14" s="8">
        <f t="shared" si="2"/>
        <v>1550</v>
      </c>
      <c r="G14" s="8">
        <f t="shared" si="3"/>
        <v>1380</v>
      </c>
      <c r="H14" s="9">
        <f t="shared" si="4"/>
        <v>848700</v>
      </c>
      <c r="I14" s="5">
        <f t="shared" si="5"/>
        <v>1.9E-2</v>
      </c>
      <c r="J14" s="8">
        <f t="shared" si="6"/>
        <v>16100</v>
      </c>
      <c r="K14" s="10">
        <f t="shared" si="7"/>
        <v>864800</v>
      </c>
      <c r="L14" s="33" t="str">
        <f t="shared" si="8"/>
        <v>＊＊</v>
      </c>
      <c r="N14" s="39" t="s">
        <v>29</v>
      </c>
      <c r="O14" s="39"/>
      <c r="P14" s="39"/>
      <c r="Q14" s="21"/>
      <c r="R14" s="21"/>
    </row>
    <row r="15" spans="1:23" ht="15" customHeight="1" thickBot="1" x14ac:dyDescent="0.5">
      <c r="A15" s="14">
        <v>104</v>
      </c>
      <c r="B15" s="2" t="str">
        <f t="shared" si="0"/>
        <v>朝日雑貨</v>
      </c>
      <c r="C15" s="2">
        <v>11</v>
      </c>
      <c r="D15" s="2" t="str">
        <f t="shared" si="1"/>
        <v>商品Ａ</v>
      </c>
      <c r="E15" s="2">
        <v>422</v>
      </c>
      <c r="F15" s="8">
        <f t="shared" si="2"/>
        <v>1190</v>
      </c>
      <c r="G15" s="8">
        <f t="shared" si="3"/>
        <v>1060</v>
      </c>
      <c r="H15" s="9">
        <f t="shared" si="4"/>
        <v>447320</v>
      </c>
      <c r="I15" s="5">
        <f t="shared" si="5"/>
        <v>2.8000000000000001E-2</v>
      </c>
      <c r="J15" s="8">
        <f t="shared" si="6"/>
        <v>12500</v>
      </c>
      <c r="K15" s="10">
        <f t="shared" si="7"/>
        <v>459820</v>
      </c>
      <c r="L15" s="33" t="str">
        <f t="shared" si="8"/>
        <v>＊＊</v>
      </c>
      <c r="N15" s="37" t="s">
        <v>8</v>
      </c>
      <c r="O15" s="36" t="s">
        <v>3</v>
      </c>
      <c r="P15" s="36"/>
    </row>
    <row r="16" spans="1:23" ht="15" customHeight="1" x14ac:dyDescent="0.45">
      <c r="A16" s="14">
        <v>104</v>
      </c>
      <c r="B16" s="2" t="str">
        <f t="shared" si="0"/>
        <v>朝日雑貨</v>
      </c>
      <c r="C16" s="2">
        <v>12</v>
      </c>
      <c r="D16" s="2" t="str">
        <f t="shared" si="1"/>
        <v>商品Ｂ</v>
      </c>
      <c r="E16" s="2">
        <v>500</v>
      </c>
      <c r="F16" s="8">
        <f t="shared" si="2"/>
        <v>1350</v>
      </c>
      <c r="G16" s="8">
        <f t="shared" si="3"/>
        <v>1200</v>
      </c>
      <c r="H16" s="9">
        <f t="shared" si="4"/>
        <v>600000</v>
      </c>
      <c r="I16" s="5">
        <f t="shared" si="5"/>
        <v>1.7000000000000001E-2</v>
      </c>
      <c r="J16" s="8">
        <f t="shared" si="6"/>
        <v>10200</v>
      </c>
      <c r="K16" s="10">
        <f t="shared" si="7"/>
        <v>610200</v>
      </c>
      <c r="L16" s="33" t="str">
        <f t="shared" si="8"/>
        <v>＊</v>
      </c>
      <c r="N16" s="38"/>
      <c r="O16" s="6">
        <v>10</v>
      </c>
      <c r="P16" s="6">
        <v>20</v>
      </c>
      <c r="S16" s="27" t="s">
        <v>50</v>
      </c>
      <c r="T16" s="28" t="s">
        <v>44</v>
      </c>
      <c r="U16" s="31" t="s">
        <v>53</v>
      </c>
      <c r="V16" s="27" t="s">
        <v>50</v>
      </c>
      <c r="W16" s="28" t="s">
        <v>56</v>
      </c>
    </row>
    <row r="17" spans="1:24" ht="15" customHeight="1" thickBot="1" x14ac:dyDescent="0.5">
      <c r="A17" s="14">
        <v>104</v>
      </c>
      <c r="B17" s="2" t="str">
        <f t="shared" si="0"/>
        <v>朝日雑貨</v>
      </c>
      <c r="C17" s="2">
        <v>21</v>
      </c>
      <c r="D17" s="2" t="str">
        <f t="shared" si="1"/>
        <v>商品Ｃ</v>
      </c>
      <c r="E17" s="2">
        <v>240</v>
      </c>
      <c r="F17" s="8">
        <f t="shared" si="2"/>
        <v>2590</v>
      </c>
      <c r="G17" s="8">
        <f t="shared" si="3"/>
        <v>2410</v>
      </c>
      <c r="H17" s="9">
        <f t="shared" si="4"/>
        <v>578400</v>
      </c>
      <c r="I17" s="5">
        <f t="shared" si="5"/>
        <v>2.4E-2</v>
      </c>
      <c r="J17" s="8">
        <f t="shared" si="6"/>
        <v>13800</v>
      </c>
      <c r="K17" s="10">
        <f t="shared" si="7"/>
        <v>592200</v>
      </c>
      <c r="L17" s="33" t="str">
        <f t="shared" si="8"/>
        <v>＊</v>
      </c>
      <c r="N17" s="20">
        <v>1</v>
      </c>
      <c r="O17" s="7">
        <v>3.5000000000000003E-2</v>
      </c>
      <c r="P17" s="7">
        <v>0.03</v>
      </c>
      <c r="S17" s="29" t="s">
        <v>51</v>
      </c>
      <c r="T17" s="30" t="s">
        <v>52</v>
      </c>
      <c r="U17" s="32" t="s">
        <v>58</v>
      </c>
      <c r="V17" s="34" t="s">
        <v>55</v>
      </c>
      <c r="W17" s="35"/>
    </row>
    <row r="18" spans="1:24" ht="15" customHeight="1" thickBot="1" x14ac:dyDescent="0.5">
      <c r="A18" s="14">
        <v>104</v>
      </c>
      <c r="B18" s="2" t="str">
        <f t="shared" si="0"/>
        <v>朝日雑貨</v>
      </c>
      <c r="C18" s="2">
        <v>22</v>
      </c>
      <c r="D18" s="2" t="str">
        <f t="shared" si="1"/>
        <v>商品Ｄ</v>
      </c>
      <c r="E18" s="2">
        <v>333</v>
      </c>
      <c r="F18" s="8">
        <f t="shared" si="2"/>
        <v>1550</v>
      </c>
      <c r="G18" s="8">
        <f t="shared" si="3"/>
        <v>1440</v>
      </c>
      <c r="H18" s="9">
        <f t="shared" si="4"/>
        <v>479520</v>
      </c>
      <c r="I18" s="5">
        <f t="shared" si="5"/>
        <v>2.4E-2</v>
      </c>
      <c r="J18" s="8">
        <f t="shared" si="6"/>
        <v>11500</v>
      </c>
      <c r="K18" s="10">
        <f t="shared" si="7"/>
        <v>491020</v>
      </c>
      <c r="L18" s="33" t="str">
        <f t="shared" si="8"/>
        <v>＊</v>
      </c>
      <c r="N18" s="20">
        <v>400000</v>
      </c>
      <c r="O18" s="7">
        <v>2.8000000000000001E-2</v>
      </c>
      <c r="P18" s="7">
        <v>2.4E-2</v>
      </c>
      <c r="V18" s="29"/>
      <c r="W18" s="30" t="s">
        <v>57</v>
      </c>
    </row>
    <row r="19" spans="1:24" ht="15" customHeight="1" thickBot="1" x14ac:dyDescent="0.5">
      <c r="A19" s="15"/>
      <c r="B19" s="16" t="s">
        <v>40</v>
      </c>
      <c r="C19" s="17"/>
      <c r="D19" s="16" t="s">
        <v>59</v>
      </c>
      <c r="E19" s="18">
        <f>SUM(E3:E18)</f>
        <v>6483</v>
      </c>
      <c r="F19" s="17"/>
      <c r="G19" s="17"/>
      <c r="H19" s="18">
        <f>SUM(H3:H18)</f>
        <v>9915590</v>
      </c>
      <c r="I19" s="17"/>
      <c r="J19" s="18">
        <f>SUM(J3:J18)</f>
        <v>225500</v>
      </c>
      <c r="K19" s="18">
        <f>SUM(K3:K18)</f>
        <v>10141090</v>
      </c>
      <c r="L19" s="19"/>
      <c r="N19" s="20">
        <v>600000</v>
      </c>
      <c r="O19" s="7">
        <v>1.7000000000000001E-2</v>
      </c>
      <c r="P19" s="7">
        <v>1.9E-2</v>
      </c>
    </row>
    <row r="20" spans="1:24" ht="15" customHeight="1" thickBot="1" x14ac:dyDescent="0.5"/>
    <row r="21" spans="1:24" ht="15" customHeight="1" thickBot="1" x14ac:dyDescent="0.5">
      <c r="A21" s="43" t="s">
        <v>46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N21" s="48" t="s">
        <v>41</v>
      </c>
      <c r="O21" s="48"/>
      <c r="P21" s="48"/>
      <c r="Q21" s="48"/>
      <c r="S21" s="49" t="s">
        <v>47</v>
      </c>
      <c r="T21" s="50"/>
      <c r="U21" s="50"/>
      <c r="V21" s="50"/>
      <c r="W21" s="50"/>
      <c r="X21" s="26">
        <f>DSUM($A$2:$L$18,$J$2,$S$16:$T$17)</f>
        <v>56300</v>
      </c>
    </row>
    <row r="22" spans="1:24" ht="15" customHeight="1" x14ac:dyDescent="0.45">
      <c r="A22" s="11" t="s">
        <v>1</v>
      </c>
      <c r="B22" s="12" t="s">
        <v>2</v>
      </c>
      <c r="C22" s="12" t="s">
        <v>3</v>
      </c>
      <c r="D22" s="12" t="s">
        <v>4</v>
      </c>
      <c r="E22" s="12" t="s">
        <v>5</v>
      </c>
      <c r="F22" s="12" t="s">
        <v>6</v>
      </c>
      <c r="G22" s="12" t="s">
        <v>7</v>
      </c>
      <c r="H22" s="12" t="s">
        <v>8</v>
      </c>
      <c r="I22" s="12" t="s">
        <v>9</v>
      </c>
      <c r="J22" s="12" t="s">
        <v>10</v>
      </c>
      <c r="K22" s="12" t="s">
        <v>11</v>
      </c>
      <c r="L22" s="13" t="s">
        <v>12</v>
      </c>
      <c r="N22" s="11" t="s">
        <v>42</v>
      </c>
      <c r="O22" s="12" t="s">
        <v>44</v>
      </c>
      <c r="P22" s="12" t="s">
        <v>43</v>
      </c>
      <c r="Q22" s="13" t="s">
        <v>45</v>
      </c>
      <c r="S22" s="45" t="s">
        <v>48</v>
      </c>
      <c r="T22" s="40"/>
      <c r="U22" s="40"/>
      <c r="V22" s="40"/>
      <c r="W22" s="40"/>
      <c r="X22" s="23">
        <f>DMAX($A$2:$L$18,$H$2,$U$16:$U$17)</f>
        <v>636000</v>
      </c>
    </row>
    <row r="23" spans="1:24" ht="15" customHeight="1" thickBot="1" x14ac:dyDescent="0.5">
      <c r="A23" s="14">
        <v>104</v>
      </c>
      <c r="B23" s="2" t="str">
        <f>VLOOKUP($A23,$N$3:$O$6,2,0)</f>
        <v>朝日雑貨</v>
      </c>
      <c r="C23" s="2">
        <v>21</v>
      </c>
      <c r="D23" s="2" t="str">
        <f>VLOOKUP($C23,$Q$3:$S$6,2,0)</f>
        <v>商品Ｃ</v>
      </c>
      <c r="E23" s="2">
        <v>240</v>
      </c>
      <c r="F23" s="8">
        <f>ROUNDDOWN(VLOOKUP($C23,$Q$3:$S$6,3,0)*1.38,-1)</f>
        <v>2590</v>
      </c>
      <c r="G23" s="8">
        <f>ROUND(IF(E23&gt;=400,F23*0.89,F23*0.93),-1)</f>
        <v>2410</v>
      </c>
      <c r="H23" s="9">
        <f>G23*E23</f>
        <v>578400</v>
      </c>
      <c r="I23" s="5">
        <f>VLOOKUP(H23,$N$17:$P$19,INT(C23/10)+1,1)</f>
        <v>2.4E-2</v>
      </c>
      <c r="J23" s="8">
        <f>ROUNDDOWN(H23*I23,-2)</f>
        <v>13800</v>
      </c>
      <c r="K23" s="10">
        <f>H23+J23</f>
        <v>592200</v>
      </c>
      <c r="L23" s="33" t="str">
        <f>IF(AND(G23&lt;1500,J23&gt;=12000),"＊＊","＊")</f>
        <v>＊</v>
      </c>
      <c r="N23" s="22" t="s">
        <v>19</v>
      </c>
      <c r="O23" s="8">
        <f>SUMIF($D$3:$D$18,$N23,$E$3:$E$18)</f>
        <v>1637</v>
      </c>
      <c r="P23" s="8">
        <f>SUMIF($D$3:$D$18,$N23,$J$3:$J$18)</f>
        <v>47100</v>
      </c>
      <c r="Q23" s="23">
        <f>SUMIF($D$3:$D$18,$N23,$K$3:$K$18)</f>
        <v>1813070</v>
      </c>
      <c r="S23" s="46" t="s">
        <v>54</v>
      </c>
      <c r="T23" s="47"/>
      <c r="U23" s="47"/>
      <c r="V23" s="47"/>
      <c r="W23" s="47"/>
      <c r="X23" s="25">
        <f>ROUND(DAVERAGE($A$2:$L$18,$K$2,$V$16:$W$18),0)</f>
        <v>685992</v>
      </c>
    </row>
    <row r="24" spans="1:24" ht="15" customHeight="1" thickBot="1" x14ac:dyDescent="0.5">
      <c r="A24" s="14">
        <v>104</v>
      </c>
      <c r="B24" s="2" t="str">
        <f>VLOOKUP($A24,$N$3:$O$6,2,0)</f>
        <v>朝日雑貨</v>
      </c>
      <c r="C24" s="2">
        <v>12</v>
      </c>
      <c r="D24" s="2" t="str">
        <f>VLOOKUP($C24,$Q$3:$S$6,2,0)</f>
        <v>商品Ｂ</v>
      </c>
      <c r="E24" s="2">
        <v>500</v>
      </c>
      <c r="F24" s="8">
        <f>ROUNDDOWN(VLOOKUP($C24,$Q$3:$S$6,3,0)*1.38,-1)</f>
        <v>1350</v>
      </c>
      <c r="G24" s="8">
        <f>ROUND(IF(E24&gt;=400,F24*0.89,F24*0.93),-1)</f>
        <v>1200</v>
      </c>
      <c r="H24" s="9">
        <f>G24*E24</f>
        <v>600000</v>
      </c>
      <c r="I24" s="5">
        <f>VLOOKUP(H24,$N$17:$P$19,INT(C24/10)+1,1)</f>
        <v>1.7000000000000001E-2</v>
      </c>
      <c r="J24" s="8">
        <f>ROUNDDOWN(H24*I24,-2)</f>
        <v>10200</v>
      </c>
      <c r="K24" s="10">
        <f>H24+J24</f>
        <v>610200</v>
      </c>
      <c r="L24" s="33" t="str">
        <f>IF(AND(G24&lt;1500,J24&gt;=12000),"＊＊","＊")</f>
        <v>＊</v>
      </c>
      <c r="N24" s="22" t="s">
        <v>20</v>
      </c>
      <c r="O24" s="8">
        <f>SUMIF($D$3:$D$18,$N24,$E$3:$E$18)</f>
        <v>1533</v>
      </c>
      <c r="P24" s="8">
        <f>SUMIF($D$3:$D$18,$N24,$J$3:$J$18)</f>
        <v>47500</v>
      </c>
      <c r="Q24" s="23">
        <f>SUMIF($D$3:$D$18,$N24,$K$3:$K$18)</f>
        <v>1922020</v>
      </c>
      <c r="S24" s="1" t="s">
        <v>49</v>
      </c>
    </row>
    <row r="25" spans="1:24" ht="15" customHeight="1" x14ac:dyDescent="0.45">
      <c r="A25" s="14">
        <v>101</v>
      </c>
      <c r="B25" s="2" t="str">
        <f>VLOOKUP($A25,$N$3:$O$6,2,0)</f>
        <v>宮前通販</v>
      </c>
      <c r="C25" s="2">
        <v>11</v>
      </c>
      <c r="D25" s="2" t="str">
        <f>VLOOKUP($C25,$Q$3:$S$6,2,0)</f>
        <v>商品Ａ</v>
      </c>
      <c r="E25" s="2">
        <v>600</v>
      </c>
      <c r="F25" s="8">
        <f>ROUNDDOWN(VLOOKUP($C25,$Q$3:$S$6,3,0)*1.38,-1)</f>
        <v>1190</v>
      </c>
      <c r="G25" s="8">
        <f>ROUND(IF(E25&gt;=400,F25*0.89,F25*0.93),-1)</f>
        <v>1060</v>
      </c>
      <c r="H25" s="9">
        <f>G25*E25</f>
        <v>636000</v>
      </c>
      <c r="I25" s="5">
        <f>VLOOKUP(H25,$N$17:$P$19,INT(C25/10)+1,1)</f>
        <v>1.7000000000000001E-2</v>
      </c>
      <c r="J25" s="8">
        <f>ROUNDDOWN(H25*I25,-2)</f>
        <v>10800</v>
      </c>
      <c r="K25" s="10">
        <f>H25+J25</f>
        <v>646800</v>
      </c>
      <c r="L25" s="33" t="str">
        <f>IF(AND(G25&lt;1500,J25&gt;=12000),"＊＊","＊")</f>
        <v>＊</v>
      </c>
      <c r="N25" s="22" t="s">
        <v>21</v>
      </c>
      <c r="O25" s="8">
        <f>SUMIF($D$3:$D$18,$N25,$E$3:$E$18)</f>
        <v>1744</v>
      </c>
      <c r="P25" s="8">
        <f>SUMIF($D$3:$D$18,$N25,$J$3:$J$18)</f>
        <v>79600</v>
      </c>
      <c r="Q25" s="23">
        <f>SUMIF($D$3:$D$18,$N25,$K$3:$K$18)</f>
        <v>4132240</v>
      </c>
      <c r="S25" s="49" t="s">
        <v>47</v>
      </c>
      <c r="T25" s="50"/>
      <c r="U25" s="50"/>
      <c r="V25" s="50"/>
      <c r="W25" s="50"/>
      <c r="X25" s="26">
        <f>SUMIFS($J$3:$J$18,$B$3:$B$18,"&lt;&gt;宮前通販",$E$3:$E$18,"&gt;=500")</f>
        <v>56300</v>
      </c>
    </row>
    <row r="26" spans="1:24" ht="15" customHeight="1" thickBot="1" x14ac:dyDescent="0.5">
      <c r="A26" s="14">
        <v>102</v>
      </c>
      <c r="B26" s="2" t="str">
        <f>VLOOKUP($A26,$N$3:$O$6,2,0)</f>
        <v>川上商事</v>
      </c>
      <c r="C26" s="2">
        <v>21</v>
      </c>
      <c r="D26" s="2" t="str">
        <f>VLOOKUP($C26,$Q$3:$S$6,2,0)</f>
        <v>商品Ｃ</v>
      </c>
      <c r="E26" s="2">
        <v>400</v>
      </c>
      <c r="F26" s="8">
        <f>ROUNDDOWN(VLOOKUP($C26,$Q$3:$S$6,3,0)*1.38,-1)</f>
        <v>2590</v>
      </c>
      <c r="G26" s="8">
        <f>ROUND(IF(E26&gt;=400,F26*0.89,F26*0.93),-1)</f>
        <v>2310</v>
      </c>
      <c r="H26" s="9">
        <f>G26*E26</f>
        <v>924000</v>
      </c>
      <c r="I26" s="5">
        <f>VLOOKUP(H26,$N$17:$P$19,INT(C26/10)+1,1)</f>
        <v>1.9E-2</v>
      </c>
      <c r="J26" s="8">
        <f>ROUNDDOWN(H26*I26,-2)</f>
        <v>17500</v>
      </c>
      <c r="K26" s="10">
        <f>H26+J26</f>
        <v>941500</v>
      </c>
      <c r="L26" s="33" t="str">
        <f>IF(AND(G26&lt;1500,J26&gt;=12000),"＊＊","＊")</f>
        <v>＊</v>
      </c>
      <c r="N26" s="24" t="s">
        <v>22</v>
      </c>
      <c r="O26" s="18">
        <f>SUMIF($D$3:$D$18,$N26,$E$3:$E$18)</f>
        <v>1569</v>
      </c>
      <c r="P26" s="18">
        <f>SUMIF($D$3:$D$18,$N26,$J$3:$J$18)</f>
        <v>51300</v>
      </c>
      <c r="Q26" s="25">
        <f>SUMIF($D$3:$D$18,$N26,$K$3:$K$18)</f>
        <v>2273760</v>
      </c>
      <c r="S26" s="46" t="s">
        <v>48</v>
      </c>
      <c r="T26" s="47"/>
      <c r="U26" s="47"/>
      <c r="V26" s="47"/>
      <c r="W26" s="47"/>
      <c r="X26" s="25">
        <f>_xlfn.MAXIFS($H$3:$H$18,$F$3:$F$18,"&lt;=1500")</f>
        <v>636000</v>
      </c>
    </row>
    <row r="27" spans="1:24" ht="15" customHeight="1" x14ac:dyDescent="0.45">
      <c r="A27" s="14">
        <v>101</v>
      </c>
      <c r="B27" s="2" t="str">
        <f>VLOOKUP($A27,$N$3:$O$6,2,0)</f>
        <v>宮前通販</v>
      </c>
      <c r="C27" s="2">
        <v>21</v>
      </c>
      <c r="D27" s="2" t="str">
        <f>VLOOKUP($C27,$Q$3:$S$6,2,0)</f>
        <v>商品Ｃ</v>
      </c>
      <c r="E27" s="2">
        <v>419</v>
      </c>
      <c r="F27" s="8">
        <f>ROUNDDOWN(VLOOKUP($C27,$Q$3:$S$6,3,0)*1.38,-1)</f>
        <v>2590</v>
      </c>
      <c r="G27" s="8">
        <f>ROUND(IF(E27&gt;=400,F27*0.89,F27*0.93),-1)</f>
        <v>2310</v>
      </c>
      <c r="H27" s="9">
        <f>G27*E27</f>
        <v>967890</v>
      </c>
      <c r="I27" s="5">
        <f>VLOOKUP(H27,$N$17:$P$19,INT(C27/10)+1,1)</f>
        <v>1.9E-2</v>
      </c>
      <c r="J27" s="8">
        <f>ROUNDDOWN(H27*I27,-2)</f>
        <v>18300</v>
      </c>
      <c r="K27" s="10">
        <f>H27+J27</f>
        <v>986190</v>
      </c>
      <c r="L27" s="33" t="str">
        <f>IF(AND(G27&lt;1500,J27&gt;=12000),"＊＊","＊")</f>
        <v>＊</v>
      </c>
    </row>
    <row r="28" spans="1:24" ht="15" customHeight="1" thickBot="1" x14ac:dyDescent="0.5">
      <c r="A28" s="15"/>
      <c r="B28" s="16" t="s">
        <v>40</v>
      </c>
      <c r="C28" s="17"/>
      <c r="D28" s="16" t="s">
        <v>59</v>
      </c>
      <c r="E28" s="18">
        <f>SUM(E23:E27)</f>
        <v>2159</v>
      </c>
      <c r="F28" s="17"/>
      <c r="G28" s="17"/>
      <c r="H28" s="18">
        <f>SUM(H23:H27)</f>
        <v>3706290</v>
      </c>
      <c r="I28" s="17"/>
      <c r="J28" s="18">
        <f>SUM(J23:J27)</f>
        <v>70600</v>
      </c>
      <c r="K28" s="18">
        <f>SUM(K23:K27)</f>
        <v>3776890</v>
      </c>
      <c r="L28" s="19"/>
    </row>
  </sheetData>
  <sortState xmlns:xlrd2="http://schemas.microsoft.com/office/spreadsheetml/2017/richdata2" ref="A23:L27">
    <sortCondition ref="H23:H27"/>
  </sortState>
  <mergeCells count="24">
    <mergeCell ref="N11:P11"/>
    <mergeCell ref="S26:W26"/>
    <mergeCell ref="N21:Q21"/>
    <mergeCell ref="A21:L21"/>
    <mergeCell ref="S21:W21"/>
    <mergeCell ref="S22:W22"/>
    <mergeCell ref="S23:W23"/>
    <mergeCell ref="S25:W25"/>
    <mergeCell ref="T10:V10"/>
    <mergeCell ref="T11:V11"/>
    <mergeCell ref="T8:W8"/>
    <mergeCell ref="T9:V9"/>
    <mergeCell ref="U1:V1"/>
    <mergeCell ref="N9:P10"/>
    <mergeCell ref="Q9:R9"/>
    <mergeCell ref="N8:R8"/>
    <mergeCell ref="A1:L1"/>
    <mergeCell ref="N1:O1"/>
    <mergeCell ref="Q1:S1"/>
    <mergeCell ref="O15:P15"/>
    <mergeCell ref="N15:N16"/>
    <mergeCell ref="N14:P14"/>
    <mergeCell ref="N12:P12"/>
    <mergeCell ref="N13:P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嘉昭</dc:creator>
  <cp:lastModifiedBy>佐野嘉昭</cp:lastModifiedBy>
  <dcterms:created xsi:type="dcterms:W3CDTF">2023-02-21T03:50:32Z</dcterms:created>
  <dcterms:modified xsi:type="dcterms:W3CDTF">2023-02-23T06:43:57Z</dcterms:modified>
</cp:coreProperties>
</file>