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15BA246B-A09A-426D-B62F-90CBF668F300}" xr6:coauthVersionLast="45" xr6:coauthVersionMax="45" xr10:uidLastSave="{00000000-0000-0000-0000-000000000000}"/>
  <bookViews>
    <workbookView xWindow="-108" yWindow="-108" windowWidth="23256" windowHeight="12576" xr2:uid="{182680E7-B422-444F-BB89-8A790AAB90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  <c r="I25" i="1"/>
  <c r="G25" i="1"/>
  <c r="E25" i="1"/>
  <c r="D25" i="1"/>
  <c r="B25" i="1"/>
  <c r="I24" i="1"/>
  <c r="G24" i="1"/>
  <c r="E24" i="1"/>
  <c r="D24" i="1"/>
  <c r="B24" i="1"/>
  <c r="I29" i="1"/>
  <c r="G29" i="1"/>
  <c r="E29" i="1"/>
  <c r="D29" i="1"/>
  <c r="B29" i="1"/>
  <c r="I27" i="1"/>
  <c r="G27" i="1"/>
  <c r="E27" i="1"/>
  <c r="D27" i="1"/>
  <c r="B27" i="1"/>
  <c r="I30" i="1"/>
  <c r="G30" i="1"/>
  <c r="E30" i="1"/>
  <c r="H30" i="1" s="1"/>
  <c r="D30" i="1"/>
  <c r="B30" i="1"/>
  <c r="I26" i="1"/>
  <c r="G26" i="1"/>
  <c r="E26" i="1"/>
  <c r="D26" i="1"/>
  <c r="B26" i="1"/>
  <c r="I28" i="1"/>
  <c r="G28" i="1"/>
  <c r="E28" i="1"/>
  <c r="H28" i="1" s="1"/>
  <c r="D28" i="1"/>
  <c r="B28" i="1"/>
  <c r="H24" i="1" l="1"/>
  <c r="J24" i="1" s="1"/>
  <c r="K24" i="1" s="1"/>
  <c r="L24" i="1" s="1"/>
  <c r="H27" i="1"/>
  <c r="J27" i="1" s="1"/>
  <c r="K27" i="1" s="1"/>
  <c r="L27" i="1" s="1"/>
  <c r="H26" i="1"/>
  <c r="J26" i="1" s="1"/>
  <c r="K26" i="1" s="1"/>
  <c r="L26" i="1" s="1"/>
  <c r="H29" i="1"/>
  <c r="J29" i="1" s="1"/>
  <c r="K29" i="1" s="1"/>
  <c r="L29" i="1" s="1"/>
  <c r="I32" i="1"/>
  <c r="H25" i="1"/>
  <c r="J25" i="1" s="1"/>
  <c r="K25" i="1" s="1"/>
  <c r="L25" i="1" s="1"/>
  <c r="J28" i="1"/>
  <c r="J30" i="1"/>
  <c r="K30" i="1" s="1"/>
  <c r="L30" i="1" s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3" i="1"/>
  <c r="F20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3" i="1"/>
  <c r="E4" i="1"/>
  <c r="H4" i="1" s="1"/>
  <c r="E5" i="1"/>
  <c r="H5" i="1" s="1"/>
  <c r="J5" i="1" s="1"/>
  <c r="E6" i="1"/>
  <c r="H6" i="1" s="1"/>
  <c r="J6" i="1" s="1"/>
  <c r="K6" i="1" s="1"/>
  <c r="L6" i="1" s="1"/>
  <c r="E7" i="1"/>
  <c r="H7" i="1" s="1"/>
  <c r="E8" i="1"/>
  <c r="H8" i="1" s="1"/>
  <c r="E9" i="1"/>
  <c r="H9" i="1" s="1"/>
  <c r="E10" i="1"/>
  <c r="H10" i="1" s="1"/>
  <c r="J10" i="1" s="1"/>
  <c r="E11" i="1"/>
  <c r="H11" i="1" s="1"/>
  <c r="J11" i="1" s="1"/>
  <c r="E12" i="1"/>
  <c r="E13" i="1"/>
  <c r="H13" i="1" s="1"/>
  <c r="J13" i="1" s="1"/>
  <c r="E14" i="1"/>
  <c r="H14" i="1" s="1"/>
  <c r="J14" i="1" s="1"/>
  <c r="K14" i="1" s="1"/>
  <c r="L14" i="1" s="1"/>
  <c r="E15" i="1"/>
  <c r="H15" i="1" s="1"/>
  <c r="E16" i="1"/>
  <c r="H16" i="1" s="1"/>
  <c r="E17" i="1"/>
  <c r="H17" i="1" s="1"/>
  <c r="E18" i="1"/>
  <c r="H18" i="1" s="1"/>
  <c r="J18" i="1" s="1"/>
  <c r="E3" i="1"/>
  <c r="H3" i="1" s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3" i="1"/>
  <c r="H32" i="1" l="1"/>
  <c r="J32" i="1"/>
  <c r="H12" i="1"/>
  <c r="J12" i="1" s="1"/>
  <c r="K12" i="1" s="1"/>
  <c r="L12" i="1" s="1"/>
  <c r="K28" i="1"/>
  <c r="H47" i="1"/>
  <c r="G39" i="1"/>
  <c r="H37" i="1"/>
  <c r="F37" i="1"/>
  <c r="H38" i="1"/>
  <c r="F38" i="1"/>
  <c r="H39" i="1"/>
  <c r="F39" i="1"/>
  <c r="H36" i="1"/>
  <c r="F36" i="1"/>
  <c r="G37" i="1"/>
  <c r="G38" i="1"/>
  <c r="G36" i="1"/>
  <c r="J9" i="1"/>
  <c r="K9" i="1" s="1"/>
  <c r="L9" i="1" s="1"/>
  <c r="J8" i="1"/>
  <c r="K8" i="1" s="1"/>
  <c r="L8" i="1" s="1"/>
  <c r="J17" i="1"/>
  <c r="K17" i="1" s="1"/>
  <c r="L17" i="1" s="1"/>
  <c r="J16" i="1"/>
  <c r="K16" i="1" s="1"/>
  <c r="L16" i="1" s="1"/>
  <c r="J15" i="1"/>
  <c r="K15" i="1" s="1"/>
  <c r="L15" i="1" s="1"/>
  <c r="J7" i="1"/>
  <c r="K7" i="1" s="1"/>
  <c r="L7" i="1" s="1"/>
  <c r="J4" i="1"/>
  <c r="K4" i="1" s="1"/>
  <c r="H20" i="1"/>
  <c r="J3" i="1"/>
  <c r="K11" i="1"/>
  <c r="L11" i="1" s="1"/>
  <c r="K18" i="1"/>
  <c r="L18" i="1" s="1"/>
  <c r="K10" i="1"/>
  <c r="L10" i="1" s="1"/>
  <c r="K13" i="1"/>
  <c r="L13" i="1" s="1"/>
  <c r="K5" i="1"/>
  <c r="L5" i="1" s="1"/>
  <c r="H43" i="1"/>
  <c r="C38" i="1"/>
  <c r="C37" i="1"/>
  <c r="B37" i="1"/>
  <c r="C36" i="1"/>
  <c r="B36" i="1"/>
  <c r="D39" i="1"/>
  <c r="D38" i="1"/>
  <c r="B38" i="1"/>
  <c r="D37" i="1"/>
  <c r="B39" i="1"/>
  <c r="D36" i="1"/>
  <c r="C39" i="1"/>
  <c r="I20" i="1"/>
  <c r="H46" i="1" l="1"/>
  <c r="H45" i="1"/>
  <c r="K3" i="1"/>
  <c r="K20" i="1" s="1"/>
  <c r="K32" i="1"/>
  <c r="L28" i="1"/>
  <c r="J20" i="1"/>
  <c r="H42" i="1"/>
  <c r="L4" i="1"/>
  <c r="H41" i="1"/>
  <c r="L3" i="1" l="1"/>
</calcChain>
</file>

<file path=xl/sharedStrings.xml><?xml version="1.0" encoding="utf-8"?>
<sst xmlns="http://schemas.openxmlformats.org/spreadsheetml/2006/main" count="136" uniqueCount="75">
  <si>
    <t>委託販売計算表</t>
    <rPh sb="0" eb="2">
      <t>イタク</t>
    </rPh>
    <rPh sb="2" eb="4">
      <t>ハンバイ</t>
    </rPh>
    <rPh sb="4" eb="6">
      <t>ケイサン</t>
    </rPh>
    <rPh sb="6" eb="7">
      <t>ヒョウ</t>
    </rPh>
    <phoneticPr fontId="1"/>
  </si>
  <si>
    <t>委CO</t>
    <rPh sb="0" eb="1">
      <t>イ</t>
    </rPh>
    <phoneticPr fontId="1"/>
  </si>
  <si>
    <t>委託先名</t>
    <rPh sb="0" eb="3">
      <t>イタクサキ</t>
    </rPh>
    <rPh sb="3" eb="4">
      <t>メイ</t>
    </rPh>
    <phoneticPr fontId="1"/>
  </si>
  <si>
    <t>商CO</t>
    <rPh sb="0" eb="1">
      <t>ショウ</t>
    </rPh>
    <phoneticPr fontId="1"/>
  </si>
  <si>
    <t>商品名</t>
    <rPh sb="0" eb="3">
      <t>ショウヒンメイ</t>
    </rPh>
    <phoneticPr fontId="1"/>
  </si>
  <si>
    <t>売価</t>
    <rPh sb="0" eb="2">
      <t>バイカ</t>
    </rPh>
    <phoneticPr fontId="1"/>
  </si>
  <si>
    <t>販売数</t>
    <rPh sb="0" eb="2">
      <t>ハンバイ</t>
    </rPh>
    <rPh sb="2" eb="3">
      <t>スウ</t>
    </rPh>
    <phoneticPr fontId="1"/>
  </si>
  <si>
    <t>区分</t>
    <rPh sb="0" eb="2">
      <t>クブン</t>
    </rPh>
    <phoneticPr fontId="1"/>
  </si>
  <si>
    <t>手数料</t>
    <rPh sb="0" eb="3">
      <t>テスウリョウ</t>
    </rPh>
    <phoneticPr fontId="1"/>
  </si>
  <si>
    <t>運送費</t>
    <rPh sb="0" eb="3">
      <t>ウンソウヒ</t>
    </rPh>
    <phoneticPr fontId="1"/>
  </si>
  <si>
    <t>奨励金</t>
    <rPh sb="0" eb="3">
      <t>ショウレイキン</t>
    </rPh>
    <phoneticPr fontId="1"/>
  </si>
  <si>
    <t>支払額</t>
    <rPh sb="0" eb="2">
      <t>シハライ</t>
    </rPh>
    <rPh sb="2" eb="3">
      <t>ガク</t>
    </rPh>
    <phoneticPr fontId="1"/>
  </si>
  <si>
    <t>判定</t>
    <rPh sb="0" eb="2">
      <t>ハンテイ</t>
    </rPh>
    <phoneticPr fontId="1"/>
  </si>
  <si>
    <t>11F</t>
    <phoneticPr fontId="1"/>
  </si>
  <si>
    <t>12G</t>
    <phoneticPr fontId="1"/>
  </si>
  <si>
    <t>13E</t>
    <phoneticPr fontId="1"/>
  </si>
  <si>
    <t>14F</t>
    <phoneticPr fontId="1"/>
  </si>
  <si>
    <t>合計</t>
    <rPh sb="0" eb="2">
      <t>ゴウケイ</t>
    </rPh>
    <phoneticPr fontId="1"/>
  </si>
  <si>
    <t>委託先集計表</t>
    <rPh sb="0" eb="6">
      <t>イタクサキシュウケイヒョウ</t>
    </rPh>
    <phoneticPr fontId="1"/>
  </si>
  <si>
    <t>委託先名</t>
    <rPh sb="0" eb="3">
      <t>イタクサキ</t>
    </rPh>
    <rPh sb="3" eb="4">
      <t>メイ</t>
    </rPh>
    <phoneticPr fontId="1"/>
  </si>
  <si>
    <t>販売数</t>
    <rPh sb="0" eb="2">
      <t>ハンバイ</t>
    </rPh>
    <rPh sb="2" eb="3">
      <t>スウ</t>
    </rPh>
    <phoneticPr fontId="1"/>
  </si>
  <si>
    <t>手数料</t>
    <rPh sb="0" eb="3">
      <t>テスウリョウ</t>
    </rPh>
    <phoneticPr fontId="1"/>
  </si>
  <si>
    <t>運送費</t>
    <rPh sb="0" eb="3">
      <t>ウンソウヒ</t>
    </rPh>
    <phoneticPr fontId="1"/>
  </si>
  <si>
    <t>明日香堂</t>
    <rPh sb="0" eb="3">
      <t>アスカ</t>
    </rPh>
    <rPh sb="3" eb="4">
      <t>ドウ</t>
    </rPh>
    <phoneticPr fontId="1"/>
  </si>
  <si>
    <t>大川商事</t>
    <rPh sb="0" eb="2">
      <t>オオカワ</t>
    </rPh>
    <rPh sb="2" eb="4">
      <t>ショウジ</t>
    </rPh>
    <phoneticPr fontId="1"/>
  </si>
  <si>
    <t>誠実商店</t>
    <rPh sb="0" eb="2">
      <t>セイジツ</t>
    </rPh>
    <rPh sb="2" eb="4">
      <t>ショウテン</t>
    </rPh>
    <phoneticPr fontId="1"/>
  </si>
  <si>
    <t>毎日百貨</t>
    <rPh sb="0" eb="2">
      <t>マイニチ</t>
    </rPh>
    <rPh sb="2" eb="4">
      <t>ヒャッカ</t>
    </rPh>
    <phoneticPr fontId="1"/>
  </si>
  <si>
    <t>販売数が150より多く230より少ない支払額の合計</t>
    <rPh sb="0" eb="2">
      <t>ハンバイ</t>
    </rPh>
    <rPh sb="2" eb="3">
      <t>スウ</t>
    </rPh>
    <rPh sb="9" eb="10">
      <t>オオ</t>
    </rPh>
    <rPh sb="16" eb="17">
      <t>スク</t>
    </rPh>
    <rPh sb="19" eb="21">
      <t>シハライ</t>
    </rPh>
    <rPh sb="21" eb="22">
      <t>ガク</t>
    </rPh>
    <rPh sb="23" eb="25">
      <t>ゴウケイ</t>
    </rPh>
    <phoneticPr fontId="1"/>
  </si>
  <si>
    <t>運送費が9,000円以下で奨励金が2,100円以上の件数</t>
    <rPh sb="0" eb="3">
      <t>ウンソウヒ</t>
    </rPh>
    <rPh sb="9" eb="12">
      <t>エンイカ</t>
    </rPh>
    <rPh sb="13" eb="16">
      <t>ショウレイキン</t>
    </rPh>
    <rPh sb="22" eb="25">
      <t>エンイジョウ</t>
    </rPh>
    <rPh sb="26" eb="28">
      <t>ケンスウ</t>
    </rPh>
    <phoneticPr fontId="1"/>
  </si>
  <si>
    <t>委託先名が大川商事以外の手数料の平均</t>
    <rPh sb="0" eb="3">
      <t>イタクサキ</t>
    </rPh>
    <rPh sb="3" eb="4">
      <t>メイ</t>
    </rPh>
    <rPh sb="5" eb="7">
      <t>オオカワ</t>
    </rPh>
    <rPh sb="7" eb="9">
      <t>ショウジ</t>
    </rPh>
    <rPh sb="9" eb="11">
      <t>イガイ</t>
    </rPh>
    <rPh sb="12" eb="15">
      <t>テスウリョウ</t>
    </rPh>
    <rPh sb="16" eb="18">
      <t>ヘイキン</t>
    </rPh>
    <phoneticPr fontId="1"/>
  </si>
  <si>
    <t>委CO</t>
    <rPh sb="0" eb="1">
      <t>イ</t>
    </rPh>
    <phoneticPr fontId="1"/>
  </si>
  <si>
    <t>明日香堂</t>
    <rPh sb="0" eb="4">
      <t>アスカドウ</t>
    </rPh>
    <phoneticPr fontId="1"/>
  </si>
  <si>
    <t>大川商事</t>
    <rPh sb="0" eb="4">
      <t>オオカワショウジ</t>
    </rPh>
    <phoneticPr fontId="1"/>
  </si>
  <si>
    <t>商CO</t>
    <rPh sb="0" eb="1">
      <t>ショウ</t>
    </rPh>
    <phoneticPr fontId="1"/>
  </si>
  <si>
    <t>商品</t>
    <rPh sb="0" eb="2">
      <t>ショウヒン</t>
    </rPh>
    <phoneticPr fontId="1"/>
  </si>
  <si>
    <t>原価</t>
    <rPh sb="0" eb="2">
      <t>ゲンカ</t>
    </rPh>
    <phoneticPr fontId="1"/>
  </si>
  <si>
    <t>商品A</t>
    <rPh sb="0" eb="2">
      <t>ショウヒン</t>
    </rPh>
    <phoneticPr fontId="1"/>
  </si>
  <si>
    <t>商品B</t>
    <rPh sb="0" eb="2">
      <t>ショウヒン</t>
    </rPh>
    <phoneticPr fontId="1"/>
  </si>
  <si>
    <t>商品C</t>
    <rPh sb="0" eb="2">
      <t>ショウヒン</t>
    </rPh>
    <phoneticPr fontId="1"/>
  </si>
  <si>
    <t>商品D</t>
    <rPh sb="0" eb="2">
      <t>ショウヒン</t>
    </rPh>
    <phoneticPr fontId="1"/>
  </si>
  <si>
    <t>区分</t>
    <rPh sb="0" eb="2">
      <t>クブン</t>
    </rPh>
    <phoneticPr fontId="1"/>
  </si>
  <si>
    <t>乗率</t>
    <rPh sb="0" eb="2">
      <t>ジョウリツ</t>
    </rPh>
    <phoneticPr fontId="1"/>
  </si>
  <si>
    <t>E</t>
    <phoneticPr fontId="1"/>
  </si>
  <si>
    <t>F</t>
    <phoneticPr fontId="1"/>
  </si>
  <si>
    <t>G</t>
    <phoneticPr fontId="1"/>
  </si>
  <si>
    <t>180以上</t>
    <rPh sb="3" eb="5">
      <t>イジョウ</t>
    </rPh>
    <phoneticPr fontId="1"/>
  </si>
  <si>
    <t>それ以外</t>
    <rPh sb="2" eb="4">
      <t>イガイ</t>
    </rPh>
    <phoneticPr fontId="1"/>
  </si>
  <si>
    <t>販売数×50</t>
    <rPh sb="0" eb="2">
      <t>ハンバイ</t>
    </rPh>
    <rPh sb="2" eb="3">
      <t>スウ</t>
    </rPh>
    <phoneticPr fontId="1"/>
  </si>
  <si>
    <t>販売数×45</t>
    <rPh sb="0" eb="2">
      <t>ハンバイ</t>
    </rPh>
    <rPh sb="2" eb="3">
      <t>スウ</t>
    </rPh>
    <phoneticPr fontId="1"/>
  </si>
  <si>
    <t>奨励金</t>
    <rPh sb="0" eb="3">
      <t>ショウレイキン</t>
    </rPh>
    <phoneticPr fontId="1"/>
  </si>
  <si>
    <t>190以上</t>
    <rPh sb="3" eb="5">
      <t>イジョウ</t>
    </rPh>
    <phoneticPr fontId="1"/>
  </si>
  <si>
    <t>手数料×5.7％</t>
    <rPh sb="0" eb="3">
      <t>テスウリョウ</t>
    </rPh>
    <phoneticPr fontId="1"/>
  </si>
  <si>
    <t>手数料×4.2％</t>
    <rPh sb="0" eb="3">
      <t>テスウリョウ</t>
    </rPh>
    <phoneticPr fontId="1"/>
  </si>
  <si>
    <t>委託先名</t>
    <rPh sb="0" eb="3">
      <t>イタクサキ</t>
    </rPh>
    <rPh sb="3" eb="4">
      <t>メイ</t>
    </rPh>
    <phoneticPr fontId="1"/>
  </si>
  <si>
    <t>明日香堂</t>
    <rPh sb="0" eb="3">
      <t>アスカ</t>
    </rPh>
    <rPh sb="3" eb="4">
      <t>ドウ</t>
    </rPh>
    <phoneticPr fontId="1"/>
  </si>
  <si>
    <t>大川商事</t>
    <rPh sb="0" eb="2">
      <t>オオカワ</t>
    </rPh>
    <rPh sb="2" eb="4">
      <t>ショウジ</t>
    </rPh>
    <phoneticPr fontId="1"/>
  </si>
  <si>
    <t>誠実商店</t>
    <rPh sb="0" eb="2">
      <t>セイジツ</t>
    </rPh>
    <rPh sb="2" eb="4">
      <t>ショウテン</t>
    </rPh>
    <phoneticPr fontId="1"/>
  </si>
  <si>
    <t>毎日百貨</t>
    <rPh sb="0" eb="2">
      <t>マイニチ</t>
    </rPh>
    <rPh sb="2" eb="4">
      <t>ヒャッカ</t>
    </rPh>
    <phoneticPr fontId="1"/>
  </si>
  <si>
    <t>販売数</t>
    <rPh sb="0" eb="2">
      <t>ハンバイ</t>
    </rPh>
    <rPh sb="2" eb="3">
      <t>スウ</t>
    </rPh>
    <phoneticPr fontId="1"/>
  </si>
  <si>
    <t>&lt;230</t>
    <phoneticPr fontId="1"/>
  </si>
  <si>
    <t>&lt;&gt;大川商事</t>
    <rPh sb="2" eb="4">
      <t>オオカワ</t>
    </rPh>
    <rPh sb="4" eb="6">
      <t>ショウジ</t>
    </rPh>
    <phoneticPr fontId="1"/>
  </si>
  <si>
    <t>&gt;150</t>
    <phoneticPr fontId="1"/>
  </si>
  <si>
    <t>委託先テーブル</t>
    <rPh sb="0" eb="3">
      <t>イタクサキ</t>
    </rPh>
    <phoneticPr fontId="1"/>
  </si>
  <si>
    <t>商品テーブル</t>
    <rPh sb="0" eb="2">
      <t>ショウヒン</t>
    </rPh>
    <phoneticPr fontId="1"/>
  </si>
  <si>
    <t>乗率テーブル</t>
    <rPh sb="0" eb="2">
      <t>ジョウリツ</t>
    </rPh>
    <phoneticPr fontId="1"/>
  </si>
  <si>
    <t>運送費の計算式</t>
    <rPh sb="0" eb="3">
      <t>ウンソウヒ</t>
    </rPh>
    <rPh sb="4" eb="7">
      <t>ケイサンシキ</t>
    </rPh>
    <phoneticPr fontId="1"/>
  </si>
  <si>
    <t>奨励金の計算式</t>
    <rPh sb="0" eb="3">
      <t>ショウレイキン</t>
    </rPh>
    <rPh sb="4" eb="7">
      <t>ケイサンシキ</t>
    </rPh>
    <phoneticPr fontId="1"/>
  </si>
  <si>
    <t>運送費</t>
    <rPh sb="0" eb="3">
      <t>ウンソウヒ</t>
    </rPh>
    <phoneticPr fontId="1"/>
  </si>
  <si>
    <t>奨励金</t>
    <rPh sb="0" eb="3">
      <t>ショウレイキン</t>
    </rPh>
    <phoneticPr fontId="1"/>
  </si>
  <si>
    <t>&lt;=9000</t>
    <phoneticPr fontId="1"/>
  </si>
  <si>
    <t>&gt;=2100</t>
    <phoneticPr fontId="1"/>
  </si>
  <si>
    <t>別解答</t>
    <rPh sb="0" eb="1">
      <t>ベツ</t>
    </rPh>
    <rPh sb="1" eb="3">
      <t>カイトウ</t>
    </rPh>
    <phoneticPr fontId="1"/>
  </si>
  <si>
    <t>委託販売計算表（商CO102以外・販売数210未満）</t>
    <rPh sb="0" eb="2">
      <t>イタク</t>
    </rPh>
    <rPh sb="2" eb="4">
      <t>ハンバイ</t>
    </rPh>
    <rPh sb="4" eb="6">
      <t>ケイサン</t>
    </rPh>
    <rPh sb="6" eb="7">
      <t>ヒョウ</t>
    </rPh>
    <rPh sb="8" eb="9">
      <t>ショウ</t>
    </rPh>
    <rPh sb="14" eb="16">
      <t>イガイ</t>
    </rPh>
    <rPh sb="17" eb="19">
      <t>ハンバイ</t>
    </rPh>
    <rPh sb="19" eb="20">
      <t>スウ</t>
    </rPh>
    <rPh sb="23" eb="25">
      <t>ミマン</t>
    </rPh>
    <phoneticPr fontId="1"/>
  </si>
  <si>
    <t>本解答はDSUMを、別解答はSUMIFを使用しています。</t>
    <rPh sb="0" eb="1">
      <t>ホン</t>
    </rPh>
    <rPh sb="1" eb="3">
      <t>カイトウ</t>
    </rPh>
    <rPh sb="10" eb="11">
      <t>ベツ</t>
    </rPh>
    <rPh sb="11" eb="13">
      <t>カイトウ</t>
    </rPh>
    <rPh sb="20" eb="22">
      <t>シヨウ</t>
    </rPh>
    <phoneticPr fontId="1"/>
  </si>
  <si>
    <t>本解答はDSUM、DCOUNT、DAVERAGEを使用しています。別解答はSUMIFS、COUNTIFS、AVERAGEIFを使用しています。</t>
    <rPh sb="0" eb="1">
      <t>ホン</t>
    </rPh>
    <rPh sb="1" eb="3">
      <t>カイトウ</t>
    </rPh>
    <rPh sb="25" eb="27">
      <t>シヨウ</t>
    </rPh>
    <rPh sb="33" eb="34">
      <t>ベツ</t>
    </rPh>
    <rPh sb="34" eb="36">
      <t>カイトウ</t>
    </rPh>
    <rPh sb="63" eb="65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</si>
</sst>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1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委託先別の集計グラフ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Sheet1!$C$35</c:f>
              <c:strCache>
                <c:ptCount val="1"/>
                <c:pt idx="0">
                  <c:v>手数料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Sheet1!$A$36:$A$39</c:f>
              <c:strCache>
                <c:ptCount val="4"/>
                <c:pt idx="0">
                  <c:v>明日香堂</c:v>
                </c:pt>
                <c:pt idx="1">
                  <c:v>大川商事</c:v>
                </c:pt>
                <c:pt idx="2">
                  <c:v>誠実商店</c:v>
                </c:pt>
                <c:pt idx="3">
                  <c:v>毎日百貨</c:v>
                </c:pt>
              </c:strCache>
            </c:strRef>
          </c:cat>
          <c:val>
            <c:numRef>
              <c:f>Sheet1!$C$36:$C$39</c:f>
              <c:numCache>
                <c:formatCode>#,##0_ </c:formatCode>
                <c:ptCount val="4"/>
                <c:pt idx="0">
                  <c:v>262078</c:v>
                </c:pt>
                <c:pt idx="1">
                  <c:v>278940</c:v>
                </c:pt>
                <c:pt idx="2">
                  <c:v>287427</c:v>
                </c:pt>
                <c:pt idx="3">
                  <c:v>309375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0-46E0-91F4-D6B5BA2385A6}"/>
            </c:ext>
          </c:extLst>
        </c:ser>
        <c:ser>
          <c:idx val="1"/>
          <c:order val="1"/>
          <c:tx>
            <c:strRef>
              <c:f>Sheet1!$D$35</c:f>
              <c:strCache>
                <c:ptCount val="1"/>
                <c:pt idx="0">
                  <c:v>運送費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Sheet1!$A$36:$A$39</c:f>
              <c:strCache>
                <c:ptCount val="4"/>
                <c:pt idx="0">
                  <c:v>明日香堂</c:v>
                </c:pt>
                <c:pt idx="1">
                  <c:v>大川商事</c:v>
                </c:pt>
                <c:pt idx="2">
                  <c:v>誠実商店</c:v>
                </c:pt>
                <c:pt idx="3">
                  <c:v>毎日百貨</c:v>
                </c:pt>
              </c:strCache>
            </c:strRef>
          </c:cat>
          <c:val>
            <c:numRef>
              <c:f>Sheet1!$D$36:$D$39</c:f>
              <c:numCache>
                <c:formatCode>#,##0_ </c:formatCode>
                <c:ptCount val="4"/>
                <c:pt idx="0">
                  <c:v>31670</c:v>
                </c:pt>
                <c:pt idx="1">
                  <c:v>35090</c:v>
                </c:pt>
                <c:pt idx="2">
                  <c:v>30050</c:v>
                </c:pt>
                <c:pt idx="3">
                  <c:v>37450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F0-46E0-91F4-D6B5BA238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9220208"/>
        <c:axId val="699227096"/>
      </c:barChart>
      <c:catAx>
        <c:axId val="69922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9227096"/>
        <c:crosses val="autoZero"/>
        <c:auto val="1"/>
        <c:lblAlgn val="ctr"/>
        <c:lblOffset val="100"/>
        <c:noMultiLvlLbl val="0"/>
      </c:catAx>
      <c:valAx>
        <c:axId val="699227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922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666750</xdr:colOff>
      <xdr:row>35</xdr:row>
      <xdr:rowOff>26670</xdr:rowOff>
    </xdr:from>
    <xdr:to>
      <xdr:col>21</xdr:col>
      <xdr:colOff>152400</xdr:colOff>
      <xdr:row>47</xdr:row>
      <xdr:rowOff>3810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79F094A-E274-4277-90A9-480E67A017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FF625-A6EF-4B93-90EC-AEDD83EBBA26}">
  <dimension ref="A1:V47"/>
  <sheetViews>
    <sheetView tabSelected="1" workbookViewId="0">
      <selection sqref="A1:L1"/>
    </sheetView>
  </sheetViews>
  <sheetFormatPr defaultRowHeight="18" x14ac:dyDescent="0.45"/>
  <cols>
    <col min="1" max="2" width="8.59765625" bestFit="1" customWidth="1"/>
    <col min="3" max="3" width="8.3984375" bestFit="1" customWidth="1"/>
    <col min="4" max="4" width="11.8984375" bestFit="1" customWidth="1"/>
    <col min="5" max="5" width="8.59765625" bestFit="1" customWidth="1"/>
    <col min="6" max="6" width="6.796875" bestFit="1" customWidth="1"/>
    <col min="7" max="7" width="8.3984375" bestFit="1" customWidth="1"/>
    <col min="8" max="8" width="9.8984375" bestFit="1" customWidth="1"/>
    <col min="9" max="9" width="8.3984375" bestFit="1" customWidth="1"/>
    <col min="10" max="10" width="7.3984375" bestFit="1" customWidth="1"/>
    <col min="11" max="11" width="9.8984375" bestFit="1" customWidth="1"/>
    <col min="12" max="12" width="5" bestFit="1" customWidth="1"/>
    <col min="13" max="13" width="4.69921875" customWidth="1"/>
    <col min="14" max="14" width="8.59765625" bestFit="1" customWidth="1"/>
    <col min="15" max="15" width="10.69921875" bestFit="1" customWidth="1"/>
    <col min="16" max="17" width="8.59765625" bestFit="1" customWidth="1"/>
    <col min="18" max="18" width="13.19921875" bestFit="1" customWidth="1"/>
    <col min="19" max="19" width="6.3984375" bestFit="1" customWidth="1"/>
    <col min="20" max="20" width="4.69921875" customWidth="1"/>
    <col min="21" max="21" width="5" bestFit="1" customWidth="1"/>
    <col min="22" max="22" width="6.296875" bestFit="1" customWidth="1"/>
  </cols>
  <sheetData>
    <row r="1" spans="1:22" ht="18.600000000000001" thickBot="1" x14ac:dyDescent="0.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22" s="1" customFormat="1" x14ac:dyDescent="0.4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0" t="s">
        <v>12</v>
      </c>
      <c r="N2" s="25" t="s">
        <v>62</v>
      </c>
      <c r="O2" s="25"/>
      <c r="P2"/>
      <c r="Q2" s="26" t="s">
        <v>63</v>
      </c>
      <c r="R2" s="26"/>
      <c r="S2" s="26"/>
      <c r="T2"/>
      <c r="U2" s="26" t="s">
        <v>64</v>
      </c>
      <c r="V2" s="26"/>
    </row>
    <row r="3" spans="1:22" x14ac:dyDescent="0.45">
      <c r="A3" s="11" t="s">
        <v>13</v>
      </c>
      <c r="B3" s="3" t="str">
        <f>VLOOKUP(A3,$N$4:$O$7,2,0)</f>
        <v>明日香堂</v>
      </c>
      <c r="C3" s="3">
        <v>101</v>
      </c>
      <c r="D3" s="3" t="str">
        <f>VLOOKUP(C3,$Q$4:$R$7,2,0)&amp;"特売用"</f>
        <v>商品A特売用</v>
      </c>
      <c r="E3" s="4">
        <f>ROUNDDOWN(VLOOKUP(C3,$Q$4:$S$7,3,0)*1.18,-1)</f>
        <v>3150</v>
      </c>
      <c r="F3" s="4">
        <v>135</v>
      </c>
      <c r="G3" s="2" t="str">
        <f>RIGHT(A3,1)</f>
        <v>F</v>
      </c>
      <c r="H3" s="4">
        <f>ROUNDUP(E3*F3*VLOOKUP(G3,$U$4:$V$6,2,0),0)</f>
        <v>50180</v>
      </c>
      <c r="I3" s="4">
        <f>IF(F3&gt;=180,F3*50,F3*45)</f>
        <v>6075</v>
      </c>
      <c r="J3" s="4">
        <f>ROUNDUP(IF(F3&gt;=190,H3*0.057,H3*0.042),0)</f>
        <v>2108</v>
      </c>
      <c r="K3" s="4">
        <f>H3+I3+J3</f>
        <v>58363</v>
      </c>
      <c r="L3" s="12" t="str">
        <f>IF(OR(F3&gt;=200,K3&gt;=90000),"*","")</f>
        <v/>
      </c>
      <c r="N3" s="2" t="s">
        <v>30</v>
      </c>
      <c r="O3" s="2" t="s">
        <v>19</v>
      </c>
      <c r="P3" s="1"/>
      <c r="Q3" s="2" t="s">
        <v>33</v>
      </c>
      <c r="R3" s="2" t="s">
        <v>34</v>
      </c>
      <c r="S3" s="2" t="s">
        <v>35</v>
      </c>
      <c r="T3" s="1"/>
      <c r="U3" s="2" t="s">
        <v>40</v>
      </c>
      <c r="V3" s="2" t="s">
        <v>41</v>
      </c>
    </row>
    <row r="4" spans="1:22" x14ac:dyDescent="0.45">
      <c r="A4" s="11" t="s">
        <v>13</v>
      </c>
      <c r="B4" s="3" t="str">
        <f t="shared" ref="B4:B18" si="0">VLOOKUP(A4,$N$4:$O$7,2,0)</f>
        <v>明日香堂</v>
      </c>
      <c r="C4" s="3">
        <v>102</v>
      </c>
      <c r="D4" s="3" t="str">
        <f t="shared" ref="D4:D18" si="1">VLOOKUP(C4,$Q$4:$R$7,2,0)&amp;"特売用"</f>
        <v>商品B特売用</v>
      </c>
      <c r="E4" s="4">
        <f t="shared" ref="E4:E18" si="2">ROUNDDOWN(VLOOKUP(C4,$Q$4:$S$7,3,0)*1.18,-1)</f>
        <v>3680</v>
      </c>
      <c r="F4" s="4">
        <v>180</v>
      </c>
      <c r="G4" s="2" t="str">
        <f t="shared" ref="G4:G18" si="3">RIGHT(A4,1)</f>
        <v>F</v>
      </c>
      <c r="H4" s="4">
        <f t="shared" ref="H4:H18" si="4">ROUNDUP(E4*F4*VLOOKUP(G4,$U$4:$V$6,2,0),0)</f>
        <v>78164</v>
      </c>
      <c r="I4" s="4">
        <f t="shared" ref="I4:I18" si="5">IF(F4&gt;=180,F4*50,F4*45)</f>
        <v>9000</v>
      </c>
      <c r="J4" s="4">
        <f t="shared" ref="J4:J18" si="6">ROUNDUP(IF(F4&gt;=190,H4*0.057,H4*0.042),0)</f>
        <v>3283</v>
      </c>
      <c r="K4" s="4">
        <f t="shared" ref="K4:K18" si="7">H4+I4+J4</f>
        <v>90447</v>
      </c>
      <c r="L4" s="12" t="str">
        <f t="shared" ref="L4:L18" si="8">IF(OR(F4&gt;=200,K4&gt;=90000),"*","")</f>
        <v>*</v>
      </c>
      <c r="N4" s="3" t="s">
        <v>13</v>
      </c>
      <c r="O4" s="3" t="s">
        <v>31</v>
      </c>
      <c r="Q4" s="3">
        <v>101</v>
      </c>
      <c r="R4" s="3" t="s">
        <v>36</v>
      </c>
      <c r="S4" s="4">
        <v>2670</v>
      </c>
      <c r="U4" s="3" t="s">
        <v>42</v>
      </c>
      <c r="V4" s="5">
        <v>0.127</v>
      </c>
    </row>
    <row r="5" spans="1:22" x14ac:dyDescent="0.45">
      <c r="A5" s="11" t="s">
        <v>13</v>
      </c>
      <c r="B5" s="3" t="str">
        <f t="shared" si="0"/>
        <v>明日香堂</v>
      </c>
      <c r="C5" s="3">
        <v>103</v>
      </c>
      <c r="D5" s="3" t="str">
        <f t="shared" si="1"/>
        <v>商品C特売用</v>
      </c>
      <c r="E5" s="4">
        <f t="shared" si="2"/>
        <v>2780</v>
      </c>
      <c r="F5" s="4">
        <v>214</v>
      </c>
      <c r="G5" s="2" t="str">
        <f t="shared" si="3"/>
        <v>F</v>
      </c>
      <c r="H5" s="4">
        <f t="shared" si="4"/>
        <v>70201</v>
      </c>
      <c r="I5" s="4">
        <f t="shared" si="5"/>
        <v>10700</v>
      </c>
      <c r="J5" s="4">
        <f t="shared" si="6"/>
        <v>4002</v>
      </c>
      <c r="K5" s="4">
        <f t="shared" si="7"/>
        <v>84903</v>
      </c>
      <c r="L5" s="12" t="str">
        <f t="shared" si="8"/>
        <v>*</v>
      </c>
      <c r="N5" s="3" t="s">
        <v>14</v>
      </c>
      <c r="O5" s="3" t="s">
        <v>32</v>
      </c>
      <c r="Q5" s="3">
        <v>102</v>
      </c>
      <c r="R5" s="3" t="s">
        <v>37</v>
      </c>
      <c r="S5" s="4">
        <v>3120</v>
      </c>
      <c r="U5" s="3" t="s">
        <v>43</v>
      </c>
      <c r="V5" s="5">
        <v>0.11799999999999999</v>
      </c>
    </row>
    <row r="6" spans="1:22" x14ac:dyDescent="0.45">
      <c r="A6" s="11" t="s">
        <v>13</v>
      </c>
      <c r="B6" s="3" t="str">
        <f t="shared" si="0"/>
        <v>明日香堂</v>
      </c>
      <c r="C6" s="3">
        <v>104</v>
      </c>
      <c r="D6" s="3" t="str">
        <f t="shared" si="1"/>
        <v>商品D特売用</v>
      </c>
      <c r="E6" s="4">
        <f t="shared" si="2"/>
        <v>4110</v>
      </c>
      <c r="F6" s="4">
        <v>131</v>
      </c>
      <c r="G6" s="2" t="str">
        <f t="shared" si="3"/>
        <v>F</v>
      </c>
      <c r="H6" s="4">
        <f t="shared" si="4"/>
        <v>63533</v>
      </c>
      <c r="I6" s="4">
        <f t="shared" si="5"/>
        <v>5895</v>
      </c>
      <c r="J6" s="4">
        <f t="shared" si="6"/>
        <v>2669</v>
      </c>
      <c r="K6" s="4">
        <f t="shared" si="7"/>
        <v>72097</v>
      </c>
      <c r="L6" s="12" t="str">
        <f t="shared" si="8"/>
        <v/>
      </c>
      <c r="N6" s="3" t="s">
        <v>15</v>
      </c>
      <c r="O6" s="3" t="s">
        <v>25</v>
      </c>
      <c r="Q6" s="3">
        <v>103</v>
      </c>
      <c r="R6" s="3" t="s">
        <v>38</v>
      </c>
      <c r="S6" s="4">
        <v>2360</v>
      </c>
      <c r="U6" s="3" t="s">
        <v>44</v>
      </c>
      <c r="V6" s="5">
        <v>0.109</v>
      </c>
    </row>
    <row r="7" spans="1:22" x14ac:dyDescent="0.45">
      <c r="A7" s="11" t="s">
        <v>14</v>
      </c>
      <c r="B7" s="3" t="str">
        <f t="shared" si="0"/>
        <v>大川商事</v>
      </c>
      <c r="C7" s="3">
        <v>101</v>
      </c>
      <c r="D7" s="3" t="str">
        <f t="shared" si="1"/>
        <v>商品A特売用</v>
      </c>
      <c r="E7" s="4">
        <f t="shared" si="2"/>
        <v>3150</v>
      </c>
      <c r="F7" s="4">
        <v>218</v>
      </c>
      <c r="G7" s="2" t="str">
        <f t="shared" si="3"/>
        <v>G</v>
      </c>
      <c r="H7" s="4">
        <f t="shared" si="4"/>
        <v>74851</v>
      </c>
      <c r="I7" s="4">
        <f t="shared" si="5"/>
        <v>10900</v>
      </c>
      <c r="J7" s="4">
        <f t="shared" si="6"/>
        <v>4267</v>
      </c>
      <c r="K7" s="4">
        <f t="shared" si="7"/>
        <v>90018</v>
      </c>
      <c r="L7" s="12" t="str">
        <f t="shared" si="8"/>
        <v>*</v>
      </c>
      <c r="N7" s="3" t="s">
        <v>16</v>
      </c>
      <c r="O7" s="3" t="s">
        <v>26</v>
      </c>
      <c r="Q7" s="3">
        <v>104</v>
      </c>
      <c r="R7" s="3" t="s">
        <v>39</v>
      </c>
      <c r="S7" s="4">
        <v>3490</v>
      </c>
    </row>
    <row r="8" spans="1:22" x14ac:dyDescent="0.45">
      <c r="A8" s="11" t="s">
        <v>14</v>
      </c>
      <c r="B8" s="3" t="str">
        <f t="shared" si="0"/>
        <v>大川商事</v>
      </c>
      <c r="C8" s="3">
        <v>102</v>
      </c>
      <c r="D8" s="3" t="str">
        <f t="shared" si="1"/>
        <v>商品B特売用</v>
      </c>
      <c r="E8" s="4">
        <f t="shared" si="2"/>
        <v>3680</v>
      </c>
      <c r="F8" s="4">
        <v>159</v>
      </c>
      <c r="G8" s="2" t="str">
        <f t="shared" si="3"/>
        <v>G</v>
      </c>
      <c r="H8" s="4">
        <f t="shared" si="4"/>
        <v>63779</v>
      </c>
      <c r="I8" s="4">
        <f t="shared" si="5"/>
        <v>7155</v>
      </c>
      <c r="J8" s="4">
        <f t="shared" si="6"/>
        <v>2679</v>
      </c>
      <c r="K8" s="4">
        <f t="shared" si="7"/>
        <v>73613</v>
      </c>
      <c r="L8" s="12" t="str">
        <f t="shared" si="8"/>
        <v/>
      </c>
    </row>
    <row r="9" spans="1:22" x14ac:dyDescent="0.45">
      <c r="A9" s="11" t="s">
        <v>14</v>
      </c>
      <c r="B9" s="3" t="str">
        <f t="shared" si="0"/>
        <v>大川商事</v>
      </c>
      <c r="C9" s="3">
        <v>103</v>
      </c>
      <c r="D9" s="3" t="str">
        <f t="shared" si="1"/>
        <v>商品C特売用</v>
      </c>
      <c r="E9" s="4">
        <f t="shared" si="2"/>
        <v>2780</v>
      </c>
      <c r="F9" s="4">
        <v>123</v>
      </c>
      <c r="G9" s="2" t="str">
        <f t="shared" si="3"/>
        <v>G</v>
      </c>
      <c r="H9" s="4">
        <f t="shared" si="4"/>
        <v>37272</v>
      </c>
      <c r="I9" s="4">
        <f t="shared" si="5"/>
        <v>5535</v>
      </c>
      <c r="J9" s="4">
        <f t="shared" si="6"/>
        <v>1566</v>
      </c>
      <c r="K9" s="4">
        <f t="shared" si="7"/>
        <v>44373</v>
      </c>
      <c r="L9" s="12" t="str">
        <f t="shared" si="8"/>
        <v/>
      </c>
      <c r="N9" s="26" t="s">
        <v>65</v>
      </c>
      <c r="O9" s="26"/>
      <c r="Q9" s="26" t="s">
        <v>66</v>
      </c>
      <c r="R9" s="26"/>
    </row>
    <row r="10" spans="1:22" x14ac:dyDescent="0.45">
      <c r="A10" s="11" t="s">
        <v>14</v>
      </c>
      <c r="B10" s="3" t="str">
        <f t="shared" si="0"/>
        <v>大川商事</v>
      </c>
      <c r="C10" s="3">
        <v>104</v>
      </c>
      <c r="D10" s="3" t="str">
        <f t="shared" si="1"/>
        <v>商品D特売用</v>
      </c>
      <c r="E10" s="4">
        <f t="shared" si="2"/>
        <v>4110</v>
      </c>
      <c r="F10" s="4">
        <v>230</v>
      </c>
      <c r="G10" s="2" t="str">
        <f t="shared" si="3"/>
        <v>G</v>
      </c>
      <c r="H10" s="4">
        <f t="shared" si="4"/>
        <v>103038</v>
      </c>
      <c r="I10" s="4">
        <f t="shared" si="5"/>
        <v>11500</v>
      </c>
      <c r="J10" s="4">
        <f t="shared" si="6"/>
        <v>5874</v>
      </c>
      <c r="K10" s="4">
        <f t="shared" si="7"/>
        <v>120412</v>
      </c>
      <c r="L10" s="12" t="str">
        <f t="shared" si="8"/>
        <v>*</v>
      </c>
      <c r="N10" s="3" t="s">
        <v>20</v>
      </c>
      <c r="O10" s="3" t="s">
        <v>22</v>
      </c>
      <c r="Q10" s="3" t="s">
        <v>20</v>
      </c>
      <c r="R10" s="3" t="s">
        <v>49</v>
      </c>
    </row>
    <row r="11" spans="1:22" x14ac:dyDescent="0.45">
      <c r="A11" s="11" t="s">
        <v>15</v>
      </c>
      <c r="B11" s="3" t="str">
        <f t="shared" si="0"/>
        <v>誠実商店</v>
      </c>
      <c r="C11" s="3">
        <v>101</v>
      </c>
      <c r="D11" s="3" t="str">
        <f t="shared" si="1"/>
        <v>商品A特売用</v>
      </c>
      <c r="E11" s="4">
        <f t="shared" si="2"/>
        <v>3150</v>
      </c>
      <c r="F11" s="4">
        <v>150</v>
      </c>
      <c r="G11" s="2" t="str">
        <f t="shared" si="3"/>
        <v>E</v>
      </c>
      <c r="H11" s="4">
        <f t="shared" si="4"/>
        <v>60008</v>
      </c>
      <c r="I11" s="4">
        <f t="shared" si="5"/>
        <v>6750</v>
      </c>
      <c r="J11" s="4">
        <f t="shared" si="6"/>
        <v>2521</v>
      </c>
      <c r="K11" s="4">
        <f t="shared" si="7"/>
        <v>69279</v>
      </c>
      <c r="L11" s="12" t="str">
        <f t="shared" si="8"/>
        <v/>
      </c>
      <c r="N11" s="3" t="s">
        <v>45</v>
      </c>
      <c r="O11" s="3" t="s">
        <v>47</v>
      </c>
      <c r="Q11" s="3" t="s">
        <v>50</v>
      </c>
      <c r="R11" s="3" t="s">
        <v>51</v>
      </c>
    </row>
    <row r="12" spans="1:22" x14ac:dyDescent="0.45">
      <c r="A12" s="11" t="s">
        <v>15</v>
      </c>
      <c r="B12" s="3" t="str">
        <f t="shared" si="0"/>
        <v>誠実商店</v>
      </c>
      <c r="C12" s="3">
        <v>102</v>
      </c>
      <c r="D12" s="3" t="str">
        <f t="shared" si="1"/>
        <v>商品B特売用</v>
      </c>
      <c r="E12" s="4">
        <f t="shared" si="2"/>
        <v>3680</v>
      </c>
      <c r="F12" s="4">
        <v>205</v>
      </c>
      <c r="G12" s="2" t="str">
        <f t="shared" si="3"/>
        <v>E</v>
      </c>
      <c r="H12" s="4">
        <f t="shared" si="4"/>
        <v>95809</v>
      </c>
      <c r="I12" s="4">
        <f t="shared" si="5"/>
        <v>10250</v>
      </c>
      <c r="J12" s="4">
        <f t="shared" si="6"/>
        <v>5462</v>
      </c>
      <c r="K12" s="4">
        <f t="shared" si="7"/>
        <v>111521</v>
      </c>
      <c r="L12" s="12" t="str">
        <f t="shared" si="8"/>
        <v>*</v>
      </c>
      <c r="N12" s="3" t="s">
        <v>46</v>
      </c>
      <c r="O12" s="3" t="s">
        <v>48</v>
      </c>
      <c r="Q12" s="3" t="s">
        <v>46</v>
      </c>
      <c r="R12" s="3" t="s">
        <v>52</v>
      </c>
    </row>
    <row r="13" spans="1:22" x14ac:dyDescent="0.45">
      <c r="A13" s="11" t="s">
        <v>15</v>
      </c>
      <c r="B13" s="3" t="str">
        <f t="shared" si="0"/>
        <v>誠実商店</v>
      </c>
      <c r="C13" s="3">
        <v>103</v>
      </c>
      <c r="D13" s="3" t="str">
        <f t="shared" si="1"/>
        <v>商品C特売用</v>
      </c>
      <c r="E13" s="4">
        <f t="shared" si="2"/>
        <v>2780</v>
      </c>
      <c r="F13" s="4">
        <v>117</v>
      </c>
      <c r="G13" s="2" t="str">
        <f t="shared" si="3"/>
        <v>E</v>
      </c>
      <c r="H13" s="4">
        <f t="shared" si="4"/>
        <v>41309</v>
      </c>
      <c r="I13" s="4">
        <f t="shared" si="5"/>
        <v>5265</v>
      </c>
      <c r="J13" s="4">
        <f t="shared" si="6"/>
        <v>1735</v>
      </c>
      <c r="K13" s="4">
        <f t="shared" si="7"/>
        <v>48309</v>
      </c>
      <c r="L13" s="12" t="str">
        <f t="shared" si="8"/>
        <v/>
      </c>
    </row>
    <row r="14" spans="1:22" x14ac:dyDescent="0.45">
      <c r="A14" s="11" t="s">
        <v>15</v>
      </c>
      <c r="B14" s="3" t="str">
        <f t="shared" si="0"/>
        <v>誠実商店</v>
      </c>
      <c r="C14" s="3">
        <v>104</v>
      </c>
      <c r="D14" s="3" t="str">
        <f t="shared" si="1"/>
        <v>商品D特売用</v>
      </c>
      <c r="E14" s="4">
        <f t="shared" si="2"/>
        <v>4110</v>
      </c>
      <c r="F14" s="4">
        <v>173</v>
      </c>
      <c r="G14" s="2" t="str">
        <f t="shared" si="3"/>
        <v>E</v>
      </c>
      <c r="H14" s="4">
        <f t="shared" si="4"/>
        <v>90301</v>
      </c>
      <c r="I14" s="4">
        <f t="shared" si="5"/>
        <v>7785</v>
      </c>
      <c r="J14" s="4">
        <f t="shared" si="6"/>
        <v>3793</v>
      </c>
      <c r="K14" s="4">
        <f t="shared" si="7"/>
        <v>101879</v>
      </c>
      <c r="L14" s="12" t="str">
        <f t="shared" si="8"/>
        <v>*</v>
      </c>
    </row>
    <row r="15" spans="1:22" x14ac:dyDescent="0.45">
      <c r="A15" s="11" t="s">
        <v>16</v>
      </c>
      <c r="B15" s="3" t="str">
        <f t="shared" si="0"/>
        <v>毎日百貨</v>
      </c>
      <c r="C15" s="3">
        <v>101</v>
      </c>
      <c r="D15" s="3" t="str">
        <f t="shared" si="1"/>
        <v>商品A特売用</v>
      </c>
      <c r="E15" s="4">
        <f t="shared" si="2"/>
        <v>3150</v>
      </c>
      <c r="F15" s="4">
        <v>210</v>
      </c>
      <c r="G15" s="2" t="str">
        <f t="shared" si="3"/>
        <v>F</v>
      </c>
      <c r="H15" s="4">
        <f t="shared" si="4"/>
        <v>78057</v>
      </c>
      <c r="I15" s="4">
        <f t="shared" si="5"/>
        <v>10500</v>
      </c>
      <c r="J15" s="4">
        <f t="shared" si="6"/>
        <v>4450</v>
      </c>
      <c r="K15" s="4">
        <f t="shared" si="7"/>
        <v>93007</v>
      </c>
      <c r="L15" s="12" t="str">
        <f t="shared" si="8"/>
        <v>*</v>
      </c>
    </row>
    <row r="16" spans="1:22" x14ac:dyDescent="0.45">
      <c r="A16" s="11" t="s">
        <v>16</v>
      </c>
      <c r="B16" s="3" t="str">
        <f t="shared" si="0"/>
        <v>毎日百貨</v>
      </c>
      <c r="C16" s="3">
        <v>102</v>
      </c>
      <c r="D16" s="3" t="str">
        <f t="shared" si="1"/>
        <v>商品B特売用</v>
      </c>
      <c r="E16" s="4">
        <f t="shared" si="2"/>
        <v>3680</v>
      </c>
      <c r="F16" s="4">
        <v>120</v>
      </c>
      <c r="G16" s="2" t="str">
        <f t="shared" si="3"/>
        <v>F</v>
      </c>
      <c r="H16" s="4">
        <f t="shared" si="4"/>
        <v>52109</v>
      </c>
      <c r="I16" s="4">
        <f t="shared" si="5"/>
        <v>5400</v>
      </c>
      <c r="J16" s="4">
        <f t="shared" si="6"/>
        <v>2189</v>
      </c>
      <c r="K16" s="4">
        <f t="shared" si="7"/>
        <v>59698</v>
      </c>
      <c r="L16" s="12" t="str">
        <f t="shared" si="8"/>
        <v/>
      </c>
    </row>
    <row r="17" spans="1:22" x14ac:dyDescent="0.45">
      <c r="A17" s="11" t="s">
        <v>16</v>
      </c>
      <c r="B17" s="3" t="str">
        <f t="shared" si="0"/>
        <v>毎日百貨</v>
      </c>
      <c r="C17" s="3">
        <v>103</v>
      </c>
      <c r="D17" s="3" t="str">
        <f t="shared" si="1"/>
        <v>商品C特売用</v>
      </c>
      <c r="E17" s="4">
        <f t="shared" si="2"/>
        <v>2780</v>
      </c>
      <c r="F17" s="4">
        <v>190</v>
      </c>
      <c r="G17" s="2" t="str">
        <f t="shared" si="3"/>
        <v>F</v>
      </c>
      <c r="H17" s="4">
        <f t="shared" si="4"/>
        <v>62328</v>
      </c>
      <c r="I17" s="4">
        <f t="shared" si="5"/>
        <v>9500</v>
      </c>
      <c r="J17" s="4">
        <f t="shared" si="6"/>
        <v>3553</v>
      </c>
      <c r="K17" s="4">
        <f t="shared" si="7"/>
        <v>75381</v>
      </c>
      <c r="L17" s="12" t="str">
        <f t="shared" si="8"/>
        <v/>
      </c>
    </row>
    <row r="18" spans="1:22" x14ac:dyDescent="0.45">
      <c r="A18" s="11" t="s">
        <v>16</v>
      </c>
      <c r="B18" s="3" t="str">
        <f t="shared" si="0"/>
        <v>毎日百貨</v>
      </c>
      <c r="C18" s="3">
        <v>104</v>
      </c>
      <c r="D18" s="3" t="str">
        <f t="shared" si="1"/>
        <v>商品D特売用</v>
      </c>
      <c r="E18" s="4">
        <f t="shared" si="2"/>
        <v>4110</v>
      </c>
      <c r="F18" s="4">
        <v>241</v>
      </c>
      <c r="G18" s="2" t="str">
        <f t="shared" si="3"/>
        <v>F</v>
      </c>
      <c r="H18" s="4">
        <f t="shared" si="4"/>
        <v>116881</v>
      </c>
      <c r="I18" s="4">
        <f t="shared" si="5"/>
        <v>12050</v>
      </c>
      <c r="J18" s="4">
        <f t="shared" si="6"/>
        <v>6663</v>
      </c>
      <c r="K18" s="4">
        <f t="shared" si="7"/>
        <v>135594</v>
      </c>
      <c r="L18" s="12" t="str">
        <f t="shared" si="8"/>
        <v>*</v>
      </c>
    </row>
    <row r="19" spans="1:22" x14ac:dyDescent="0.45">
      <c r="A19" s="11"/>
      <c r="B19" s="3"/>
      <c r="C19" s="3"/>
      <c r="D19" s="3"/>
      <c r="E19" s="4"/>
      <c r="F19" s="4"/>
      <c r="G19" s="3"/>
      <c r="H19" s="3"/>
      <c r="I19" s="3"/>
      <c r="J19" s="3"/>
      <c r="K19" s="3"/>
      <c r="L19" s="13"/>
    </row>
    <row r="20" spans="1:22" s="1" customFormat="1" ht="18.600000000000001" thickBot="1" x14ac:dyDescent="0.5">
      <c r="A20" s="14"/>
      <c r="B20" s="15" t="s">
        <v>17</v>
      </c>
      <c r="C20" s="15"/>
      <c r="D20" s="15"/>
      <c r="E20" s="15"/>
      <c r="F20" s="16">
        <f>SUM(F3:F18)</f>
        <v>2796</v>
      </c>
      <c r="G20" s="15"/>
      <c r="H20" s="16">
        <f>SUM(H3:H18)</f>
        <v>1137820</v>
      </c>
      <c r="I20" s="16">
        <f t="shared" ref="I20:K20" si="9">SUM(I3:I18)</f>
        <v>134260</v>
      </c>
      <c r="J20" s="16">
        <f t="shared" si="9"/>
        <v>56814</v>
      </c>
      <c r="K20" s="16">
        <f t="shared" si="9"/>
        <v>1328894</v>
      </c>
      <c r="L20" s="17"/>
      <c r="N20"/>
      <c r="O20"/>
      <c r="P20"/>
      <c r="Q20"/>
      <c r="R20"/>
      <c r="S20"/>
      <c r="T20"/>
      <c r="U20"/>
      <c r="V20"/>
    </row>
    <row r="21" spans="1:22" x14ac:dyDescent="0.45">
      <c r="A21" s="6"/>
      <c r="B21" s="6"/>
      <c r="C21" s="6"/>
      <c r="D21" s="6"/>
      <c r="E21" s="6"/>
      <c r="F21" s="24"/>
      <c r="G21" s="6"/>
      <c r="H21" s="24"/>
      <c r="I21" s="24"/>
      <c r="J21" s="24"/>
      <c r="K21" s="24"/>
      <c r="L21" s="6"/>
      <c r="N21" s="1"/>
      <c r="O21" s="1"/>
      <c r="P21" s="1"/>
      <c r="Q21" s="1"/>
      <c r="R21" s="1"/>
      <c r="S21" s="1"/>
      <c r="T21" s="1"/>
      <c r="U21" s="1"/>
      <c r="V21" s="1"/>
    </row>
    <row r="22" spans="1:22" ht="18.600000000000001" thickBot="1" x14ac:dyDescent="0.5">
      <c r="A22" s="27" t="s">
        <v>72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22" x14ac:dyDescent="0.45">
      <c r="A23" s="8" t="s">
        <v>1</v>
      </c>
      <c r="B23" s="9" t="s">
        <v>2</v>
      </c>
      <c r="C23" s="9" t="s">
        <v>3</v>
      </c>
      <c r="D23" s="9" t="s">
        <v>4</v>
      </c>
      <c r="E23" s="9" t="s">
        <v>5</v>
      </c>
      <c r="F23" s="9" t="s">
        <v>6</v>
      </c>
      <c r="G23" s="9" t="s">
        <v>7</v>
      </c>
      <c r="H23" s="9" t="s">
        <v>8</v>
      </c>
      <c r="I23" s="9" t="s">
        <v>9</v>
      </c>
      <c r="J23" s="9" t="s">
        <v>10</v>
      </c>
      <c r="K23" s="9" t="s">
        <v>11</v>
      </c>
      <c r="L23" s="10" t="s">
        <v>12</v>
      </c>
    </row>
    <row r="24" spans="1:22" x14ac:dyDescent="0.45">
      <c r="A24" s="11" t="s">
        <v>15</v>
      </c>
      <c r="B24" s="3" t="str">
        <f t="shared" ref="B24:B30" si="10">VLOOKUP(A24,$N$4:$O$7,2,0)</f>
        <v>誠実商店</v>
      </c>
      <c r="C24" s="3">
        <v>104</v>
      </c>
      <c r="D24" s="3" t="str">
        <f t="shared" ref="D24:D30" si="11">VLOOKUP(C24,$Q$4:$R$7,2,0)&amp;"特売用"</f>
        <v>商品D特売用</v>
      </c>
      <c r="E24" s="4">
        <f t="shared" ref="E24:E30" si="12">ROUNDDOWN(VLOOKUP(C24,$Q$4:$S$7,3,0)*1.18,-1)</f>
        <v>4110</v>
      </c>
      <c r="F24" s="4">
        <v>173</v>
      </c>
      <c r="G24" s="2" t="str">
        <f t="shared" ref="G24:G30" si="13">RIGHT(A24,1)</f>
        <v>E</v>
      </c>
      <c r="H24" s="4">
        <f t="shared" ref="H24:H30" si="14">ROUNDUP(E24*F24*VLOOKUP(G24,$U$4:$V$6,2,0),0)</f>
        <v>90301</v>
      </c>
      <c r="I24" s="4">
        <f t="shared" ref="I24:I30" si="15">IF(F24&gt;=180,F24*50,F24*45)</f>
        <v>7785</v>
      </c>
      <c r="J24" s="4">
        <f t="shared" ref="J24:J30" si="16">ROUNDUP(IF(F24&gt;=190,H24*0.057,H24*0.042),0)</f>
        <v>3793</v>
      </c>
      <c r="K24" s="4">
        <f t="shared" ref="K24:K30" si="17">H24+I24+J24</f>
        <v>101879</v>
      </c>
      <c r="L24" s="12" t="str">
        <f t="shared" ref="L24:L30" si="18">IF(OR(F24&gt;=200,K24&gt;=90000),"*","")</f>
        <v>*</v>
      </c>
    </row>
    <row r="25" spans="1:22" x14ac:dyDescent="0.45">
      <c r="A25" s="11" t="s">
        <v>16</v>
      </c>
      <c r="B25" s="3" t="str">
        <f t="shared" si="10"/>
        <v>毎日百貨</v>
      </c>
      <c r="C25" s="3">
        <v>103</v>
      </c>
      <c r="D25" s="3" t="str">
        <f t="shared" si="11"/>
        <v>商品C特売用</v>
      </c>
      <c r="E25" s="4">
        <f t="shared" si="12"/>
        <v>2780</v>
      </c>
      <c r="F25" s="4">
        <v>190</v>
      </c>
      <c r="G25" s="2" t="str">
        <f t="shared" si="13"/>
        <v>F</v>
      </c>
      <c r="H25" s="4">
        <f t="shared" si="14"/>
        <v>62328</v>
      </c>
      <c r="I25" s="4">
        <f t="shared" si="15"/>
        <v>9500</v>
      </c>
      <c r="J25" s="4">
        <f t="shared" si="16"/>
        <v>3553</v>
      </c>
      <c r="K25" s="4">
        <f t="shared" si="17"/>
        <v>75381</v>
      </c>
      <c r="L25" s="12" t="str">
        <f t="shared" si="18"/>
        <v/>
      </c>
    </row>
    <row r="26" spans="1:22" x14ac:dyDescent="0.45">
      <c r="A26" s="11" t="s">
        <v>13</v>
      </c>
      <c r="B26" s="3" t="str">
        <f t="shared" si="10"/>
        <v>明日香堂</v>
      </c>
      <c r="C26" s="3">
        <v>104</v>
      </c>
      <c r="D26" s="3" t="str">
        <f t="shared" si="11"/>
        <v>商品D特売用</v>
      </c>
      <c r="E26" s="4">
        <f t="shared" si="12"/>
        <v>4110</v>
      </c>
      <c r="F26" s="4">
        <v>131</v>
      </c>
      <c r="G26" s="2" t="str">
        <f t="shared" si="13"/>
        <v>F</v>
      </c>
      <c r="H26" s="4">
        <f t="shared" si="14"/>
        <v>63533</v>
      </c>
      <c r="I26" s="4">
        <f t="shared" si="15"/>
        <v>5895</v>
      </c>
      <c r="J26" s="4">
        <f t="shared" si="16"/>
        <v>2669</v>
      </c>
      <c r="K26" s="4">
        <f t="shared" si="17"/>
        <v>72097</v>
      </c>
      <c r="L26" s="12" t="str">
        <f t="shared" si="18"/>
        <v/>
      </c>
    </row>
    <row r="27" spans="1:22" x14ac:dyDescent="0.45">
      <c r="A27" s="11" t="s">
        <v>15</v>
      </c>
      <c r="B27" s="3" t="str">
        <f t="shared" si="10"/>
        <v>誠実商店</v>
      </c>
      <c r="C27" s="3">
        <v>101</v>
      </c>
      <c r="D27" s="3" t="str">
        <f t="shared" si="11"/>
        <v>商品A特売用</v>
      </c>
      <c r="E27" s="4">
        <f t="shared" si="12"/>
        <v>3150</v>
      </c>
      <c r="F27" s="4">
        <v>150</v>
      </c>
      <c r="G27" s="2" t="str">
        <f t="shared" si="13"/>
        <v>E</v>
      </c>
      <c r="H27" s="4">
        <f t="shared" si="14"/>
        <v>60008</v>
      </c>
      <c r="I27" s="4">
        <f t="shared" si="15"/>
        <v>6750</v>
      </c>
      <c r="J27" s="4">
        <f t="shared" si="16"/>
        <v>2521</v>
      </c>
      <c r="K27" s="4">
        <f t="shared" si="17"/>
        <v>69279</v>
      </c>
      <c r="L27" s="12" t="str">
        <f t="shared" si="18"/>
        <v/>
      </c>
    </row>
    <row r="28" spans="1:22" x14ac:dyDescent="0.45">
      <c r="A28" s="11" t="s">
        <v>13</v>
      </c>
      <c r="B28" s="3" t="str">
        <f t="shared" si="10"/>
        <v>明日香堂</v>
      </c>
      <c r="C28" s="3">
        <v>101</v>
      </c>
      <c r="D28" s="3" t="str">
        <f t="shared" si="11"/>
        <v>商品A特売用</v>
      </c>
      <c r="E28" s="4">
        <f t="shared" si="12"/>
        <v>3150</v>
      </c>
      <c r="F28" s="4">
        <v>135</v>
      </c>
      <c r="G28" s="2" t="str">
        <f t="shared" si="13"/>
        <v>F</v>
      </c>
      <c r="H28" s="4">
        <f t="shared" si="14"/>
        <v>50180</v>
      </c>
      <c r="I28" s="4">
        <f t="shared" si="15"/>
        <v>6075</v>
      </c>
      <c r="J28" s="4">
        <f t="shared" si="16"/>
        <v>2108</v>
      </c>
      <c r="K28" s="4">
        <f t="shared" si="17"/>
        <v>58363</v>
      </c>
      <c r="L28" s="12" t="str">
        <f t="shared" si="18"/>
        <v/>
      </c>
    </row>
    <row r="29" spans="1:22" x14ac:dyDescent="0.45">
      <c r="A29" s="11" t="s">
        <v>15</v>
      </c>
      <c r="B29" s="3" t="str">
        <f t="shared" si="10"/>
        <v>誠実商店</v>
      </c>
      <c r="C29" s="3">
        <v>103</v>
      </c>
      <c r="D29" s="3" t="str">
        <f t="shared" si="11"/>
        <v>商品C特売用</v>
      </c>
      <c r="E29" s="4">
        <f t="shared" si="12"/>
        <v>2780</v>
      </c>
      <c r="F29" s="4">
        <v>117</v>
      </c>
      <c r="G29" s="2" t="str">
        <f t="shared" si="13"/>
        <v>E</v>
      </c>
      <c r="H29" s="4">
        <f t="shared" si="14"/>
        <v>41309</v>
      </c>
      <c r="I29" s="4">
        <f t="shared" si="15"/>
        <v>5265</v>
      </c>
      <c r="J29" s="4">
        <f t="shared" si="16"/>
        <v>1735</v>
      </c>
      <c r="K29" s="4">
        <f t="shared" si="17"/>
        <v>48309</v>
      </c>
      <c r="L29" s="12" t="str">
        <f t="shared" si="18"/>
        <v/>
      </c>
    </row>
    <row r="30" spans="1:22" x14ac:dyDescent="0.45">
      <c r="A30" s="11" t="s">
        <v>14</v>
      </c>
      <c r="B30" s="3" t="str">
        <f t="shared" si="10"/>
        <v>大川商事</v>
      </c>
      <c r="C30" s="3">
        <v>103</v>
      </c>
      <c r="D30" s="3" t="str">
        <f t="shared" si="11"/>
        <v>商品C特売用</v>
      </c>
      <c r="E30" s="4">
        <f t="shared" si="12"/>
        <v>2780</v>
      </c>
      <c r="F30" s="4">
        <v>123</v>
      </c>
      <c r="G30" s="2" t="str">
        <f t="shared" si="13"/>
        <v>G</v>
      </c>
      <c r="H30" s="4">
        <f t="shared" si="14"/>
        <v>37272</v>
      </c>
      <c r="I30" s="4">
        <f t="shared" si="15"/>
        <v>5535</v>
      </c>
      <c r="J30" s="4">
        <f t="shared" si="16"/>
        <v>1566</v>
      </c>
      <c r="K30" s="4">
        <f t="shared" si="17"/>
        <v>44373</v>
      </c>
      <c r="L30" s="12" t="str">
        <f t="shared" si="18"/>
        <v/>
      </c>
      <c r="N30" s="7" t="s">
        <v>53</v>
      </c>
      <c r="O30" s="7" t="s">
        <v>53</v>
      </c>
      <c r="P30" s="7" t="s">
        <v>53</v>
      </c>
      <c r="Q30" s="7" t="s">
        <v>53</v>
      </c>
    </row>
    <row r="31" spans="1:22" x14ac:dyDescent="0.45">
      <c r="A31" s="11"/>
      <c r="B31" s="3"/>
      <c r="C31" s="3"/>
      <c r="D31" s="3"/>
      <c r="E31" s="4"/>
      <c r="F31" s="4"/>
      <c r="G31" s="3"/>
      <c r="H31" s="3"/>
      <c r="I31" s="3"/>
      <c r="J31" s="3"/>
      <c r="K31" s="3"/>
      <c r="L31" s="13"/>
      <c r="N31" s="7" t="s">
        <v>54</v>
      </c>
      <c r="O31" s="7" t="s">
        <v>55</v>
      </c>
      <c r="P31" s="7" t="s">
        <v>56</v>
      </c>
      <c r="Q31" s="7" t="s">
        <v>57</v>
      </c>
    </row>
    <row r="32" spans="1:22" ht="18.600000000000001" thickBot="1" x14ac:dyDescent="0.5">
      <c r="A32" s="14"/>
      <c r="B32" s="15" t="s">
        <v>17</v>
      </c>
      <c r="C32" s="15"/>
      <c r="D32" s="15"/>
      <c r="E32" s="15"/>
      <c r="F32" s="16">
        <f>SUM(F24:F30)</f>
        <v>1019</v>
      </c>
      <c r="G32" s="15"/>
      <c r="H32" s="16">
        <f>SUM(H24:H30)</f>
        <v>404931</v>
      </c>
      <c r="I32" s="16">
        <f>SUM(I24:I30)</f>
        <v>46805</v>
      </c>
      <c r="J32" s="16">
        <f>SUM(J24:J30)</f>
        <v>17945</v>
      </c>
      <c r="K32" s="16">
        <f>SUM(K24:K30)</f>
        <v>469681</v>
      </c>
      <c r="L32" s="17"/>
    </row>
    <row r="33" spans="1:18" x14ac:dyDescent="0.45">
      <c r="E33" t="s">
        <v>71</v>
      </c>
      <c r="N33" s="7" t="s">
        <v>58</v>
      </c>
      <c r="O33" s="7" t="s">
        <v>58</v>
      </c>
      <c r="P33" s="7" t="s">
        <v>67</v>
      </c>
      <c r="Q33" s="7" t="s">
        <v>68</v>
      </c>
      <c r="R33" s="7" t="s">
        <v>53</v>
      </c>
    </row>
    <row r="34" spans="1:18" ht="18.600000000000001" thickBot="1" x14ac:dyDescent="0.5">
      <c r="A34" s="28" t="s">
        <v>18</v>
      </c>
      <c r="B34" s="28"/>
      <c r="C34" s="28"/>
      <c r="D34" s="28"/>
      <c r="E34" s="28" t="s">
        <v>18</v>
      </c>
      <c r="F34" s="28"/>
      <c r="G34" s="28"/>
      <c r="H34" s="28"/>
      <c r="N34" s="7" t="s">
        <v>61</v>
      </c>
      <c r="O34" s="7" t="s">
        <v>59</v>
      </c>
      <c r="P34" s="7" t="s">
        <v>69</v>
      </c>
      <c r="Q34" s="7" t="s">
        <v>70</v>
      </c>
      <c r="R34" s="7" t="s">
        <v>60</v>
      </c>
    </row>
    <row r="35" spans="1:18" x14ac:dyDescent="0.45">
      <c r="A35" s="8" t="s">
        <v>19</v>
      </c>
      <c r="B35" s="9" t="s">
        <v>20</v>
      </c>
      <c r="C35" s="9" t="s">
        <v>21</v>
      </c>
      <c r="D35" s="10" t="s">
        <v>22</v>
      </c>
      <c r="E35" s="8" t="s">
        <v>2</v>
      </c>
      <c r="F35" s="9" t="s">
        <v>6</v>
      </c>
      <c r="G35" s="9" t="s">
        <v>8</v>
      </c>
      <c r="H35" s="10" t="s">
        <v>9</v>
      </c>
    </row>
    <row r="36" spans="1:18" x14ac:dyDescent="0.45">
      <c r="A36" s="11" t="s">
        <v>23</v>
      </c>
      <c r="B36" s="3">
        <f>DSUM($A$2:$L$18,$F$2,$N$30:$N$31)</f>
        <v>660</v>
      </c>
      <c r="C36" s="4">
        <f>DSUM($A$2:$L$18,$H$2,$N$30:$N$31)</f>
        <v>262078</v>
      </c>
      <c r="D36" s="18">
        <f>DSUM($A$2:$L$18,$I$2,$N$30:$N$31)</f>
        <v>31670</v>
      </c>
      <c r="E36" s="11" t="s">
        <v>23</v>
      </c>
      <c r="F36" s="3">
        <f>SUMIF($B$3:$B$18,$E36,$F$3:$F$18)</f>
        <v>660</v>
      </c>
      <c r="G36" s="4">
        <f>SUMIF($B$3:$B$18,$E36,$H$3:$H$18)</f>
        <v>262078</v>
      </c>
      <c r="H36" s="18">
        <f>SUMIF($B$3:$B$18,$E36,$I$3:$I$18)</f>
        <v>31670</v>
      </c>
      <c r="I36" s="35" t="s">
        <v>73</v>
      </c>
      <c r="J36" s="36"/>
      <c r="K36" s="36"/>
      <c r="L36" s="36"/>
    </row>
    <row r="37" spans="1:18" x14ac:dyDescent="0.45">
      <c r="A37" s="11" t="s">
        <v>24</v>
      </c>
      <c r="B37" s="3">
        <f>DSUM($A$2:$L$18,$F$2,$O$30:$O$31)</f>
        <v>730</v>
      </c>
      <c r="C37" s="4">
        <f>DSUM($A$2:$L$18,$H$2,$O$30:$O$31)</f>
        <v>278940</v>
      </c>
      <c r="D37" s="18">
        <f>DSUM($A$2:$L$18,$I$2,$O$30:$O$31)</f>
        <v>35090</v>
      </c>
      <c r="E37" s="11" t="s">
        <v>24</v>
      </c>
      <c r="F37" s="3">
        <f t="shared" ref="F37:F39" si="19">SUMIF($B$3:$B$18,$E37,$F$3:$F$18)</f>
        <v>730</v>
      </c>
      <c r="G37" s="4">
        <f t="shared" ref="G37:G39" si="20">SUMIF($B$3:$B$18,$E37,$H$3:$H$18)</f>
        <v>278940</v>
      </c>
      <c r="H37" s="18">
        <f t="shared" ref="H37:H39" si="21">SUMIF($B$3:$B$18,$E37,$I$3:$I$18)</f>
        <v>35090</v>
      </c>
      <c r="I37" s="37"/>
      <c r="J37" s="36"/>
      <c r="K37" s="36"/>
      <c r="L37" s="36"/>
    </row>
    <row r="38" spans="1:18" x14ac:dyDescent="0.45">
      <c r="A38" s="11" t="s">
        <v>25</v>
      </c>
      <c r="B38" s="3">
        <f>DSUM($A$2:$L$18,$F$2,$P$30:$P$31)</f>
        <v>645</v>
      </c>
      <c r="C38" s="4">
        <f>DSUM($A$2:$L$18,$H$2,$P$30:$P$31)</f>
        <v>287427</v>
      </c>
      <c r="D38" s="18">
        <f>DSUM($A$2:$L$18,$I$2,$P$30:$P$31)</f>
        <v>30050</v>
      </c>
      <c r="E38" s="11" t="s">
        <v>25</v>
      </c>
      <c r="F38" s="3">
        <f t="shared" si="19"/>
        <v>645</v>
      </c>
      <c r="G38" s="4">
        <f t="shared" si="20"/>
        <v>287427</v>
      </c>
      <c r="H38" s="18">
        <f t="shared" si="21"/>
        <v>30050</v>
      </c>
    </row>
    <row r="39" spans="1:18" ht="18.600000000000001" thickBot="1" x14ac:dyDescent="0.5">
      <c r="A39" s="19" t="s">
        <v>26</v>
      </c>
      <c r="B39" s="20">
        <f>DSUM($A$2:$L$18,$F$2,$Q$30:$Q$31)</f>
        <v>761</v>
      </c>
      <c r="C39" s="21">
        <f>DSUM($A$2:$L$18,$H$2,$Q$30:$Q$31)</f>
        <v>309375</v>
      </c>
      <c r="D39" s="22">
        <f>DSUM($A$2:$L$18,$I$2,$Q$30:$Q$31)</f>
        <v>37450</v>
      </c>
      <c r="E39" s="19" t="s">
        <v>26</v>
      </c>
      <c r="F39" s="20">
        <f t="shared" si="19"/>
        <v>761</v>
      </c>
      <c r="G39" s="21">
        <f t="shared" si="20"/>
        <v>309375</v>
      </c>
      <c r="H39" s="22">
        <f t="shared" si="21"/>
        <v>37450</v>
      </c>
    </row>
    <row r="40" spans="1:18" ht="18.600000000000001" thickBot="1" x14ac:dyDescent="0.5"/>
    <row r="41" spans="1:18" x14ac:dyDescent="0.45">
      <c r="A41" s="29" t="s">
        <v>27</v>
      </c>
      <c r="B41" s="30"/>
      <c r="C41" s="30"/>
      <c r="D41" s="30"/>
      <c r="E41" s="30"/>
      <c r="F41" s="30"/>
      <c r="G41" s="30"/>
      <c r="H41" s="23">
        <f>DSUM($A$2:$L$18,$K$2,$N$33:$O$34)</f>
        <v>720769</v>
      </c>
    </row>
    <row r="42" spans="1:18" x14ac:dyDescent="0.45">
      <c r="A42" s="31" t="s">
        <v>28</v>
      </c>
      <c r="B42" s="32"/>
      <c r="C42" s="32"/>
      <c r="D42" s="32"/>
      <c r="E42" s="32"/>
      <c r="F42" s="32"/>
      <c r="G42" s="32"/>
      <c r="H42" s="18">
        <f>DCOUNT($A$2:$L$18,9,$P$33:$Q$34)</f>
        <v>7</v>
      </c>
      <c r="I42" s="38" t="s">
        <v>74</v>
      </c>
      <c r="J42" s="38"/>
      <c r="K42" s="38"/>
      <c r="L42" s="38"/>
    </row>
    <row r="43" spans="1:18" ht="18.600000000000001" thickBot="1" x14ac:dyDescent="0.5">
      <c r="A43" s="33" t="s">
        <v>29</v>
      </c>
      <c r="B43" s="34"/>
      <c r="C43" s="34"/>
      <c r="D43" s="34"/>
      <c r="E43" s="34"/>
      <c r="F43" s="34"/>
      <c r="G43" s="34"/>
      <c r="H43" s="22">
        <f>DAVERAGE($A$2:$L$18,$H$2,$R$33:$R$34)</f>
        <v>71573.333333333328</v>
      </c>
      <c r="I43" s="38"/>
      <c r="J43" s="38"/>
      <c r="K43" s="38"/>
      <c r="L43" s="38"/>
    </row>
    <row r="44" spans="1:18" ht="18.600000000000001" thickBot="1" x14ac:dyDescent="0.5">
      <c r="A44" t="s">
        <v>71</v>
      </c>
      <c r="I44" s="38"/>
      <c r="J44" s="38"/>
      <c r="K44" s="38"/>
      <c r="L44" s="38"/>
    </row>
    <row r="45" spans="1:18" x14ac:dyDescent="0.45">
      <c r="A45" s="29" t="s">
        <v>27</v>
      </c>
      <c r="B45" s="30"/>
      <c r="C45" s="30"/>
      <c r="D45" s="30"/>
      <c r="E45" s="30"/>
      <c r="F45" s="30"/>
      <c r="G45" s="30"/>
      <c r="H45" s="23">
        <f>SUMIFS(K$3:K$18,$F$3:$F$18,"&gt;150",$F$3:$F$18,"&lt;230")</f>
        <v>720769</v>
      </c>
      <c r="I45" s="38"/>
      <c r="J45" s="38"/>
      <c r="K45" s="38"/>
      <c r="L45" s="38"/>
    </row>
    <row r="46" spans="1:18" x14ac:dyDescent="0.45">
      <c r="A46" s="31" t="s">
        <v>28</v>
      </c>
      <c r="B46" s="32"/>
      <c r="C46" s="32"/>
      <c r="D46" s="32"/>
      <c r="E46" s="32"/>
      <c r="F46" s="32"/>
      <c r="G46" s="32"/>
      <c r="H46" s="18">
        <f>COUNTIFS($I$3:$I$18,"&lt;=9000",J3:$J$18,"&gt;=2100")</f>
        <v>7</v>
      </c>
      <c r="I46" s="38"/>
      <c r="J46" s="38"/>
      <c r="K46" s="38"/>
      <c r="L46" s="38"/>
    </row>
    <row r="47" spans="1:18" ht="18.600000000000001" thickBot="1" x14ac:dyDescent="0.5">
      <c r="A47" s="33" t="s">
        <v>29</v>
      </c>
      <c r="B47" s="34"/>
      <c r="C47" s="34"/>
      <c r="D47" s="34"/>
      <c r="E47" s="34"/>
      <c r="F47" s="34"/>
      <c r="G47" s="34"/>
      <c r="H47" s="22">
        <f>ROUND(AVERAGEIF($B$3:$B$18,"&lt;&gt;大川商事",$H$3:$H$18),0)</f>
        <v>71573</v>
      </c>
    </row>
  </sheetData>
  <sortState xmlns:xlrd2="http://schemas.microsoft.com/office/spreadsheetml/2017/richdata2" ref="A24:L30">
    <sortCondition descending="1" ref="K24:K30"/>
  </sortState>
  <mergeCells count="17">
    <mergeCell ref="A45:G45"/>
    <mergeCell ref="A46:G46"/>
    <mergeCell ref="A47:G47"/>
    <mergeCell ref="A22:L22"/>
    <mergeCell ref="I36:L37"/>
    <mergeCell ref="I42:L46"/>
    <mergeCell ref="A1:L1"/>
    <mergeCell ref="A34:D34"/>
    <mergeCell ref="A41:G41"/>
    <mergeCell ref="A42:G42"/>
    <mergeCell ref="A43:G43"/>
    <mergeCell ref="E34:H34"/>
    <mergeCell ref="N2:O2"/>
    <mergeCell ref="Q2:S2"/>
    <mergeCell ref="U2:V2"/>
    <mergeCell ref="N9:O9"/>
    <mergeCell ref="Q9:R9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2020-03-05T07:23:10Z</dcterms:created>
  <dcterms:modified xsi:type="dcterms:W3CDTF">2020-05-13T00:13:10Z</dcterms:modified>
</cp:coreProperties>
</file>