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E17ED7E2-1268-4515-ABC2-1017AA6135B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H26" i="1" a="1"/>
  <c r="H26" i="1" s="1"/>
  <c r="D26" i="1"/>
  <c r="F26" i="1" s="1"/>
  <c r="G26" i="1" s="1"/>
  <c r="B26" i="1"/>
  <c r="H25" i="1" a="1"/>
  <c r="H25" i="1" s="1"/>
  <c r="D25" i="1"/>
  <c r="F25" i="1" s="1"/>
  <c r="G25" i="1" s="1"/>
  <c r="B25" i="1"/>
  <c r="H27" i="1" a="1"/>
  <c r="H27" i="1" s="1"/>
  <c r="D27" i="1"/>
  <c r="F27" i="1" s="1"/>
  <c r="G27" i="1" s="1"/>
  <c r="B27" i="1"/>
  <c r="H24" i="1" a="1"/>
  <c r="H24" i="1" s="1"/>
  <c r="D24" i="1"/>
  <c r="F24" i="1" s="1"/>
  <c r="G24" i="1" s="1"/>
  <c r="B24" i="1"/>
  <c r="I24" i="1" l="1"/>
  <c r="J24" i="1" s="1"/>
  <c r="K24" i="1" s="1"/>
  <c r="I25" i="1"/>
  <c r="J25" i="1" s="1"/>
  <c r="K25" i="1" s="1"/>
  <c r="I26" i="1"/>
  <c r="J26" i="1" s="1"/>
  <c r="K26" i="1" s="1"/>
  <c r="G29" i="1"/>
  <c r="I27" i="1"/>
  <c r="J27" i="1" s="1"/>
  <c r="K27" i="1" s="1"/>
  <c r="I29" i="1" l="1"/>
  <c r="J29" i="1"/>
  <c r="H7" i="1" a="1"/>
  <c r="H7" i="1" s="1"/>
  <c r="H11" i="1" a="1"/>
  <c r="H11" i="1" s="1"/>
  <c r="H15" i="1" a="1"/>
  <c r="H15" i="1" s="1"/>
  <c r="H4" i="1" a="1"/>
  <c r="H4" i="1" s="1"/>
  <c r="H8" i="1" a="1"/>
  <c r="H8" i="1" s="1"/>
  <c r="H12" i="1" a="1"/>
  <c r="H12" i="1" s="1"/>
  <c r="H16" i="1" a="1"/>
  <c r="H16" i="1" s="1"/>
  <c r="H5" i="1" a="1"/>
  <c r="H5" i="1" s="1"/>
  <c r="H9" i="1" a="1"/>
  <c r="H9" i="1" s="1"/>
  <c r="H13" i="1" a="1"/>
  <c r="H13" i="1" s="1"/>
  <c r="H17" i="1" a="1"/>
  <c r="H17" i="1" s="1"/>
  <c r="H6" i="1" a="1"/>
  <c r="H6" i="1" s="1"/>
  <c r="H10" i="1" a="1"/>
  <c r="H10" i="1" s="1"/>
  <c r="H14" i="1" a="1"/>
  <c r="H14" i="1" s="1"/>
  <c r="H18" i="1" a="1"/>
  <c r="H18" i="1" s="1"/>
  <c r="H3" i="1" a="1"/>
  <c r="H3" i="1" s="1"/>
  <c r="E20" i="1" l="1"/>
  <c r="D6" i="1"/>
  <c r="F6" i="1" s="1"/>
  <c r="G6" i="1" s="1"/>
  <c r="I6" i="1" s="1"/>
  <c r="D12" i="1"/>
  <c r="F12" i="1" s="1"/>
  <c r="G12" i="1" s="1"/>
  <c r="I12" i="1" s="1"/>
  <c r="D17" i="1"/>
  <c r="F17" i="1" s="1"/>
  <c r="G17" i="1" s="1"/>
  <c r="I17" i="1" s="1"/>
  <c r="D9" i="1"/>
  <c r="F9" i="1" s="1"/>
  <c r="G9" i="1" s="1"/>
  <c r="D13" i="1"/>
  <c r="F13" i="1" s="1"/>
  <c r="G13" i="1" s="1"/>
  <c r="I13" i="1" s="1"/>
  <c r="J13" i="1" s="1"/>
  <c r="K13" i="1" s="1"/>
  <c r="D3" i="1"/>
  <c r="D8" i="1"/>
  <c r="F8" i="1" s="1"/>
  <c r="G8" i="1" s="1"/>
  <c r="I8" i="1" s="1"/>
  <c r="J8" i="1" s="1"/>
  <c r="K8" i="1" s="1"/>
  <c r="D18" i="1"/>
  <c r="F18" i="1" s="1"/>
  <c r="G18" i="1" s="1"/>
  <c r="I18" i="1" s="1"/>
  <c r="J18" i="1" s="1"/>
  <c r="D7" i="1"/>
  <c r="F7" i="1" s="1"/>
  <c r="G7" i="1" s="1"/>
  <c r="D4" i="1"/>
  <c r="F4" i="1" s="1"/>
  <c r="G4" i="1" s="1"/>
  <c r="I4" i="1" s="1"/>
  <c r="J4" i="1" s="1"/>
  <c r="K4" i="1" s="1"/>
  <c r="D10" i="1"/>
  <c r="F10" i="1" s="1"/>
  <c r="G10" i="1" s="1"/>
  <c r="I10" i="1" s="1"/>
  <c r="J10" i="1" s="1"/>
  <c r="K10" i="1" s="1"/>
  <c r="D11" i="1"/>
  <c r="F11" i="1" s="1"/>
  <c r="G11" i="1" s="1"/>
  <c r="D16" i="1"/>
  <c r="F16" i="1" s="1"/>
  <c r="G16" i="1" s="1"/>
  <c r="I16" i="1" s="1"/>
  <c r="J16" i="1" s="1"/>
  <c r="K16" i="1" s="1"/>
  <c r="D15" i="1"/>
  <c r="F15" i="1" s="1"/>
  <c r="G15" i="1" s="1"/>
  <c r="D14" i="1"/>
  <c r="F14" i="1" s="1"/>
  <c r="G14" i="1" s="1"/>
  <c r="D5" i="1"/>
  <c r="F5" i="1" s="1"/>
  <c r="G5" i="1" s="1"/>
  <c r="I5" i="1" s="1"/>
  <c r="B7" i="1"/>
  <c r="B11" i="1"/>
  <c r="B15" i="1"/>
  <c r="B4" i="1"/>
  <c r="B8" i="1"/>
  <c r="B12" i="1"/>
  <c r="B16" i="1"/>
  <c r="B5" i="1"/>
  <c r="B9" i="1"/>
  <c r="B13" i="1"/>
  <c r="B17" i="1"/>
  <c r="B6" i="1"/>
  <c r="B10" i="1"/>
  <c r="B14" i="1"/>
  <c r="B18" i="1"/>
  <c r="B3" i="1"/>
  <c r="C35" i="1" l="1"/>
  <c r="D40" i="1"/>
  <c r="B40" i="1"/>
  <c r="C34" i="1"/>
  <c r="B39" i="1"/>
  <c r="D34" i="1"/>
  <c r="B41" i="1"/>
  <c r="B34" i="1"/>
  <c r="B42" i="1"/>
  <c r="B36" i="1"/>
  <c r="B35" i="1"/>
  <c r="C36" i="1"/>
  <c r="C40" i="1"/>
  <c r="C41" i="1"/>
  <c r="B33" i="1"/>
  <c r="C42" i="1"/>
  <c r="I7" i="1"/>
  <c r="J7" i="1" s="1"/>
  <c r="K7" i="1" s="1"/>
  <c r="I15" i="1"/>
  <c r="J15" i="1" s="1"/>
  <c r="K15" i="1" s="1"/>
  <c r="I11" i="1"/>
  <c r="J11" i="1" s="1"/>
  <c r="K11" i="1" s="1"/>
  <c r="I9" i="1"/>
  <c r="J9" i="1" s="1"/>
  <c r="K9" i="1" s="1"/>
  <c r="F3" i="1"/>
  <c r="K18" i="1"/>
  <c r="J17" i="1"/>
  <c r="K17" i="1" s="1"/>
  <c r="J6" i="1"/>
  <c r="K6" i="1" s="1"/>
  <c r="I14" i="1"/>
  <c r="D36" i="1" s="1"/>
  <c r="J12" i="1"/>
  <c r="K12" i="1" s="1"/>
  <c r="J5" i="1"/>
  <c r="D42" i="1" l="1"/>
  <c r="D41" i="1"/>
  <c r="K34" i="1"/>
  <c r="K38" i="1"/>
  <c r="D35" i="1"/>
  <c r="G3" i="1"/>
  <c r="J14" i="1"/>
  <c r="K14" i="1" s="1"/>
  <c r="K5" i="1"/>
  <c r="C39" i="1" l="1"/>
  <c r="C33" i="1"/>
  <c r="I3" i="1"/>
  <c r="G20" i="1"/>
  <c r="K33" i="1" l="1"/>
  <c r="K37" i="1"/>
  <c r="D39" i="1"/>
  <c r="D33" i="1"/>
  <c r="J3" i="1"/>
  <c r="I20" i="1"/>
  <c r="K32" i="1" l="1"/>
  <c r="K36" i="1"/>
  <c r="K3" i="1"/>
  <c r="J2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<sst xmlns="http://schemas.openxmlformats.org/spreadsheetml/2006/main" count="107" uniqueCount="63">
  <si>
    <t>得CO</t>
    <rPh sb="0" eb="1">
      <t>トク</t>
    </rPh>
    <phoneticPr fontId="1"/>
  </si>
  <si>
    <t>商CO</t>
    <rPh sb="0" eb="1">
      <t>ショウ</t>
    </rPh>
    <phoneticPr fontId="1"/>
  </si>
  <si>
    <t>数量</t>
    <rPh sb="0" eb="2">
      <t>スウリョウ</t>
    </rPh>
    <phoneticPr fontId="1"/>
  </si>
  <si>
    <t>得意先名</t>
    <rPh sb="0" eb="3">
      <t>トクイサキ</t>
    </rPh>
    <rPh sb="3" eb="4">
      <t>メイ</t>
    </rPh>
    <phoneticPr fontId="1"/>
  </si>
  <si>
    <t>上野商事</t>
    <rPh sb="0" eb="2">
      <t>ウエノ</t>
    </rPh>
    <rPh sb="2" eb="4">
      <t>ショウジ</t>
    </rPh>
    <phoneticPr fontId="1"/>
  </si>
  <si>
    <t>ナカガワ</t>
    <phoneticPr fontId="1"/>
  </si>
  <si>
    <t>中尾総業</t>
    <rPh sb="0" eb="2">
      <t>ナカオ</t>
    </rPh>
    <rPh sb="2" eb="4">
      <t>ソウギョウ</t>
    </rPh>
    <phoneticPr fontId="1"/>
  </si>
  <si>
    <t>下川商店</t>
    <rPh sb="0" eb="2">
      <t>シモカワ</t>
    </rPh>
    <rPh sb="2" eb="4">
      <t>ショウテン</t>
    </rPh>
    <phoneticPr fontId="1"/>
  </si>
  <si>
    <t>商CO</t>
    <rPh sb="0" eb="1">
      <t>ショウ</t>
    </rPh>
    <phoneticPr fontId="1"/>
  </si>
  <si>
    <t>商品</t>
    <rPh sb="0" eb="2">
      <t>ショウヒン</t>
    </rPh>
    <phoneticPr fontId="1"/>
  </si>
  <si>
    <t>原価</t>
    <rPh sb="0" eb="2">
      <t>ゲンカ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</si>
  <si>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</si>
  <si>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</si>
  <si>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</si>
  <si>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</si>
  <si>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数量</t>
    <rPh sb="0" eb="2">
      <t>スウリョウ</t>
    </rPh>
    <phoneticPr fontId="1"/>
  </si>
  <si>
    <t>10番台</t>
    <rPh sb="2" eb="3">
      <t>バン</t>
    </rPh>
    <rPh sb="3" eb="4">
      <t>ダイ</t>
    </rPh>
    <phoneticPr fontId="1"/>
  </si>
  <si>
    <t>20番台</t>
    <rPh sb="2" eb="4">
      <t>バンダイ</t>
    </rPh>
    <phoneticPr fontId="1"/>
  </si>
  <si>
    <t>判定</t>
    <rPh sb="0" eb="2">
      <t>ハンテイ</t>
    </rPh>
    <phoneticPr fontId="1"/>
  </si>
  <si>
    <t>***</t>
    <phoneticPr fontId="1"/>
  </si>
  <si>
    <t>**</t>
    <phoneticPr fontId="1"/>
  </si>
  <si>
    <t>*</t>
    <phoneticPr fontId="1"/>
  </si>
  <si>
    <t>それ以外</t>
    <rPh sb="2" eb="4">
      <t>イガイ</t>
    </rPh>
    <phoneticPr fontId="1"/>
  </si>
  <si>
    <t>商品名</t>
    <rPh sb="0" eb="3">
      <t>ショウヒンメイ</t>
    </rPh>
    <phoneticPr fontId="1"/>
  </si>
  <si>
    <t>定価</t>
    <rPh sb="0" eb="2">
      <t>テイカ</t>
    </rPh>
    <phoneticPr fontId="1"/>
  </si>
  <si>
    <t>売上額</t>
    <rPh sb="0" eb="2">
      <t>ウリアゲ</t>
    </rPh>
    <rPh sb="2" eb="3">
      <t>ガク</t>
    </rPh>
    <phoneticPr fontId="1"/>
  </si>
  <si>
    <t>割引額</t>
    <rPh sb="0" eb="3">
      <t>ワリビキガク</t>
    </rPh>
    <phoneticPr fontId="1"/>
  </si>
  <si>
    <t>割引率</t>
    <rPh sb="0" eb="2">
      <t>ワリビキ</t>
    </rPh>
    <rPh sb="2" eb="3">
      <t>リツ</t>
    </rPh>
    <phoneticPr fontId="1"/>
  </si>
  <si>
    <t>請求額</t>
    <rPh sb="0" eb="2">
      <t>セイキュウ</t>
    </rPh>
    <rPh sb="2" eb="3">
      <t>ガク</t>
    </rPh>
    <phoneticPr fontId="1"/>
  </si>
  <si>
    <t>得意先名</t>
    <rPh sb="0" eb="3">
      <t>トクイサキ</t>
    </rPh>
    <rPh sb="3" eb="4">
      <t>メイ</t>
    </rPh>
    <phoneticPr fontId="1"/>
  </si>
  <si>
    <t>商品名がC商品以外の請求額の平均</t>
    <rPh sb="0" eb="3">
      <t>ショウヒンメイ</t>
    </rPh>
    <rPh sb="5" eb="7">
      <t>ショウヒン</t>
    </rPh>
    <rPh sb="7" eb="9">
      <t>イガイ</t>
    </rPh>
    <rPh sb="10" eb="12">
      <t>セイキュウ</t>
    </rPh>
    <rPh sb="12" eb="13">
      <t>ガク</t>
    </rPh>
    <rPh sb="14" eb="16">
      <t>ヘイキン</t>
    </rPh>
    <phoneticPr fontId="1"/>
  </si>
  <si>
    <t>数量が1,300以上2,000未満の割引額の合計</t>
    <rPh sb="0" eb="2">
      <t>スウリョウ</t>
    </rPh>
    <rPh sb="8" eb="10">
      <t>イジョウ</t>
    </rPh>
    <rPh sb="15" eb="17">
      <t>ミマン</t>
    </rPh>
    <rPh sb="18" eb="21">
      <t>ワリビキガク</t>
    </rPh>
    <rPh sb="22" eb="24">
      <t>ゴウケイ</t>
    </rPh>
    <phoneticPr fontId="1"/>
  </si>
  <si>
    <t>定価が1,200円以下で売上額が140万円以上の件数</t>
    <rPh sb="0" eb="2">
      <t>テイカ</t>
    </rPh>
    <rPh sb="8" eb="9">
      <t>エン</t>
    </rPh>
    <rPh sb="9" eb="11">
      <t>イカ</t>
    </rPh>
    <rPh sb="12" eb="14">
      <t>ウリアゲ</t>
    </rPh>
    <rPh sb="14" eb="15">
      <t>ガク</t>
    </rPh>
    <rPh sb="19" eb="20">
      <t>マン</t>
    </rPh>
    <rPh sb="20" eb="21">
      <t>エン</t>
    </rPh>
    <rPh sb="21" eb="23">
      <t>イジョウ</t>
    </rPh>
    <rPh sb="24" eb="26">
      <t>ケンスウ</t>
    </rPh>
    <phoneticPr fontId="1"/>
  </si>
  <si>
    <t>合計</t>
    <rPh sb="0" eb="2">
      <t>ゴウケイ</t>
    </rPh>
    <phoneticPr fontId="1"/>
  </si>
  <si>
    <t>商品名</t>
    <rPh sb="0" eb="3">
      <t>ショウヒンメイ</t>
    </rPh>
    <phoneticPr fontId="1"/>
  </si>
  <si>
    <t>&lt;&gt;C</t>
    <phoneticPr fontId="1"/>
  </si>
  <si>
    <t>数量</t>
    <rPh sb="0" eb="2">
      <t>スウリョウ</t>
    </rPh>
    <phoneticPr fontId="1"/>
  </si>
  <si>
    <t>&gt;=1300</t>
    <phoneticPr fontId="1"/>
  </si>
  <si>
    <t>請求額一覧表</t>
    <rPh sb="0" eb="6">
      <t>セイキュウガクイチランヒョウ</t>
    </rPh>
    <phoneticPr fontId="1"/>
  </si>
  <si>
    <t>取引先別集計表</t>
    <rPh sb="0" eb="2">
      <t>トリヒキ</t>
    </rPh>
    <rPh sb="2" eb="3">
      <t>サキ</t>
    </rPh>
    <rPh sb="3" eb="4">
      <t>ベツ</t>
    </rPh>
    <rPh sb="4" eb="6">
      <t>シュウケイ</t>
    </rPh>
    <rPh sb="6" eb="7">
      <t>ヒョウ</t>
    </rPh>
    <phoneticPr fontId="1"/>
  </si>
  <si>
    <t>得意先テーブル</t>
    <rPh sb="0" eb="3">
      <t>トクイサキ</t>
    </rPh>
    <phoneticPr fontId="1"/>
  </si>
  <si>
    <t>商品テーブル</t>
    <rPh sb="0" eb="2">
      <t>ショウヒン</t>
    </rPh>
    <phoneticPr fontId="1"/>
  </si>
  <si>
    <t>数量　　　　　　請求額</t>
    <rPh sb="0" eb="2">
      <t>スウリョウ</t>
    </rPh>
    <rPh sb="8" eb="10">
      <t>セイキュウ</t>
    </rPh>
    <rPh sb="10" eb="11">
      <t>ガク</t>
    </rPh>
    <phoneticPr fontId="1"/>
  </si>
  <si>
    <t>割引率表</t>
    <rPh sb="0" eb="2">
      <t>ワリビキ</t>
    </rPh>
    <rPh sb="2" eb="3">
      <t>リツ</t>
    </rPh>
    <rPh sb="3" eb="4">
      <t>ヒョウ</t>
    </rPh>
    <phoneticPr fontId="1"/>
  </si>
  <si>
    <t>判定表</t>
    <rPh sb="0" eb="2">
      <t>ハンテイ</t>
    </rPh>
    <rPh sb="2" eb="3">
      <t>ヒョウ</t>
    </rPh>
    <phoneticPr fontId="1"/>
  </si>
  <si>
    <t>2,000未満　　かつ　　　        200万以上　</t>
    <rPh sb="5" eb="7">
      <t>ミマン</t>
    </rPh>
    <rPh sb="25" eb="26">
      <t>マン</t>
    </rPh>
    <rPh sb="26" eb="28">
      <t>イジョウ</t>
    </rPh>
    <phoneticPr fontId="1"/>
  </si>
  <si>
    <t>2,000未満       かつ         150万以上　200万未満</t>
    <rPh sb="5" eb="7">
      <t>ミマン</t>
    </rPh>
    <rPh sb="28" eb="29">
      <t>マン</t>
    </rPh>
    <rPh sb="29" eb="31">
      <t>イジョウ</t>
    </rPh>
    <rPh sb="35" eb="36">
      <t>マン</t>
    </rPh>
    <rPh sb="36" eb="38">
      <t>ミマン</t>
    </rPh>
    <phoneticPr fontId="1"/>
  </si>
  <si>
    <t>得意先名</t>
    <rPh sb="0" eb="3">
      <t>トクイサキ</t>
    </rPh>
    <rPh sb="3" eb="4">
      <t>メイ</t>
    </rPh>
    <phoneticPr fontId="1"/>
  </si>
  <si>
    <t>上野商事</t>
    <rPh sb="0" eb="2">
      <t>ウエノ</t>
    </rPh>
    <rPh sb="2" eb="4">
      <t>ショウジ</t>
    </rPh>
    <phoneticPr fontId="1"/>
  </si>
  <si>
    <t>ナカガワ</t>
    <phoneticPr fontId="1"/>
  </si>
  <si>
    <t>下川商店</t>
    <rPh sb="0" eb="2">
      <t>シモカワ</t>
    </rPh>
    <rPh sb="2" eb="4">
      <t>ショウテン</t>
    </rPh>
    <phoneticPr fontId="1"/>
  </si>
  <si>
    <t>別解答</t>
    <rPh sb="0" eb="1">
      <t>ベツ</t>
    </rPh>
    <rPh sb="1" eb="3">
      <t>カイトウ</t>
    </rPh>
    <phoneticPr fontId="1"/>
  </si>
  <si>
    <t>中尾総業</t>
    <rPh sb="0" eb="2">
      <t>ナカオ</t>
    </rPh>
    <rPh sb="2" eb="4">
      <t>ソウギョウ</t>
    </rPh>
    <phoneticPr fontId="1"/>
  </si>
  <si>
    <t>&lt;2000</t>
    <phoneticPr fontId="1"/>
  </si>
  <si>
    <t>定価</t>
    <rPh sb="0" eb="2">
      <t>テイカ</t>
    </rPh>
    <phoneticPr fontId="1"/>
  </si>
  <si>
    <t>&lt;=1200</t>
    <phoneticPr fontId="1"/>
  </si>
  <si>
    <t>売上額</t>
    <rPh sb="0" eb="2">
      <t>ウリアゲ</t>
    </rPh>
    <rPh sb="2" eb="3">
      <t>ガク</t>
    </rPh>
    <phoneticPr fontId="1"/>
  </si>
  <si>
    <t>&gt;=1400000</t>
    <phoneticPr fontId="1"/>
  </si>
  <si>
    <t>本解答はデータベース関数のDSUM、DAVERAGE、DCOUNTを使用しています。別解答はSUMIF、SUMIFS、AVERAGEIF、COUNTIFSを使用しています</t>
    <rPh sb="0" eb="1">
      <t>ホン</t>
    </rPh>
    <rPh sb="1" eb="3">
      <t>カイトウ</t>
    </rPh>
    <rPh sb="10" eb="12">
      <t>カンスウ</t>
    </rPh>
    <rPh sb="34" eb="36">
      <t>シヨウ</t>
    </rPh>
    <rPh sb="42" eb="43">
      <t>ベツ</t>
    </rPh>
    <rPh sb="43" eb="45">
      <t>カイトウ</t>
    </rPh>
    <rPh sb="78" eb="80">
      <t>シヨウ</t>
    </rPh>
    <phoneticPr fontId="1"/>
  </si>
  <si>
    <t>請求額一覧表（D商品以外・請求額200万円以上）</t>
    <rPh sb="0" eb="6">
      <t>セイキュウガクイチランヒョウ</t>
    </rPh>
    <rPh sb="8" eb="10">
      <t>ショウヒン</t>
    </rPh>
    <rPh sb="10" eb="12">
      <t>イガイ</t>
    </rPh>
    <rPh sb="13" eb="15">
      <t>セイキュウ</t>
    </rPh>
    <rPh sb="15" eb="16">
      <t>ガク</t>
    </rPh>
    <rPh sb="19" eb="23">
      <t>マンエンイジョウ</t>
    </rPh>
    <phoneticPr fontId="1"/>
  </si>
  <si>
    <t>　  1以上　1500未満</t>
    <rPh sb="4" eb="6">
      <t>イジョウ</t>
    </rPh>
    <rPh sb="11" eb="13">
      <t>ミマン</t>
    </rPh>
    <phoneticPr fontId="1"/>
  </si>
  <si>
    <t>1500以上　1800未満</t>
    <rPh sb="4" eb="6">
      <t>イジョウ</t>
    </rPh>
    <rPh sb="11" eb="13">
      <t>ミマン</t>
    </rPh>
    <phoneticPr fontId="1"/>
  </si>
  <si>
    <t>1800以上</t>
    <rPh sb="4" eb="6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</si>
</sst>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7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Border="1">
      <alignment vertical="center"/>
    </xf>
    <xf numFmtId="176" fontId="0" fillId="0" borderId="12" xfId="0" applyNumberFormat="1" applyBorder="1" applyAlignment="1">
      <alignment vertical="center"/>
    </xf>
    <xf numFmtId="0" fontId="0" fillId="0" borderId="13" xfId="0" applyBorder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0" fillId="0" borderId="0" xfId="0" applyFill="1" applyBorder="1">
      <alignment vertical="center"/>
    </xf>
    <xf numFmtId="176" fontId="0" fillId="0" borderId="10" xfId="0" applyNumberFormat="1" applyBorder="1" applyAlignment="1">
      <alignment vertical="center"/>
    </xf>
    <xf numFmtId="0" fontId="0" fillId="0" borderId="15" xfId="0" applyNumberFormat="1" applyBorder="1" applyAlignment="1">
      <alignment vertical="center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left" vertical="center"/>
    </xf>
    <xf numFmtId="177" fontId="0" fillId="2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取引先別の割引額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Sheet1!$D$32</c:f>
              <c:strCache>
                <c:ptCount val="1"/>
                <c:pt idx="0">
                  <c:v>割引額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Sheet1!$A$33:$A$36</c:f>
              <c:strCache>
                <c:ptCount val="4"/>
                <c:pt idx="0">
                  <c:v>上野商事</c:v>
                </c:pt>
                <c:pt idx="1">
                  <c:v>ナカガワ</c:v>
                </c:pt>
                <c:pt idx="2">
                  <c:v>中尾総業</c:v>
                </c:pt>
                <c:pt idx="3">
                  <c:v>下川商店</c:v>
                </c:pt>
              </c:strCache>
            </c:strRef>
          </c:cat>
          <c:val>
            <c:numRef>
              <c:f>Sheet1!$D$33:$D$36</c:f>
              <c:numCache>
                <c:formatCode>#,##0_ </c:formatCode>
                <c:ptCount val="4"/>
                <c:pt idx="0">
                  <c:v>598120</c:v>
                </c:pt>
                <c:pt idx="1">
                  <c:v>582640</c:v>
                </c:pt>
                <c:pt idx="2">
                  <c:v>491530</c:v>
                </c:pt>
                <c:pt idx="3">
                  <c:v>683330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9-47C7-8139-BBC80B1A2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3877808"/>
        <c:axId val="703878136"/>
      </c:barChart>
      <c:catAx>
        <c:axId val="70387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3878136"/>
        <c:crosses val="autoZero"/>
        <c:auto val="1"/>
        <c:lblAlgn val="ctr"/>
        <c:lblOffset val="100"/>
        <c:noMultiLvlLbl val="0"/>
      </c:catAx>
      <c:valAx>
        <c:axId val="70387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387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346710</xdr:colOff>
      <xdr:row>30</xdr:row>
      <xdr:rowOff>217170</xdr:rowOff>
    </xdr:from>
    <xdr:to>
      <xdr:col>17</xdr:col>
      <xdr:colOff>525780</xdr:colOff>
      <xdr:row>42</xdr:row>
      <xdr:rowOff>217170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4DC495A-E5F8-44C2-AC6F-3FE3284A81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workbookViewId="0">
      <selection activeCell="T5" sqref="T5"/>
    </sheetView>
  </sheetViews>
  <sheetFormatPr defaultRowHeight="18" x14ac:dyDescent="0.45"/>
  <cols>
    <col min="1" max="2" width="8.59765625" bestFit="1" customWidth="1"/>
    <col min="3" max="3" width="9.8984375" bestFit="1" customWidth="1"/>
    <col min="4" max="4" width="8.3984375" bestFit="1" customWidth="1"/>
    <col min="5" max="5" width="7.3984375" bestFit="1" customWidth="1"/>
    <col min="6" max="6" width="6.3984375" bestFit="1" customWidth="1"/>
    <col min="7" max="7" width="11" bestFit="1" customWidth="1"/>
    <col min="8" max="8" width="6.796875" bestFit="1" customWidth="1"/>
    <col min="9" max="9" width="9.8984375" bestFit="1" customWidth="1"/>
    <col min="10" max="10" width="11" bestFit="1" customWidth="1"/>
    <col min="11" max="11" width="9.8984375" bestFit="1" customWidth="1"/>
    <col min="12" max="12" width="4.69921875" style="10" customWidth="1"/>
    <col min="13" max="14" width="8.59765625" bestFit="1" customWidth="1"/>
    <col min="15" max="15" width="8.59765625" style="10" bestFit="1" customWidth="1"/>
    <col min="16" max="16" width="8.59765625" bestFit="1" customWidth="1"/>
    <col min="17" max="17" width="11.09765625" bestFit="1" customWidth="1"/>
    <col min="18" max="18" width="8" bestFit="1" customWidth="1"/>
  </cols>
  <sheetData>
    <row r="1" spans="1:20" ht="18.600000000000001" thickBot="1" x14ac:dyDescent="0.5">
      <c r="A1" s="50" t="s">
        <v>38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20" s="4" customFormat="1" x14ac:dyDescent="0.45">
      <c r="A2" s="22" t="s">
        <v>0</v>
      </c>
      <c r="B2" s="23" t="s">
        <v>3</v>
      </c>
      <c r="C2" s="23" t="s">
        <v>1</v>
      </c>
      <c r="D2" s="24" t="s">
        <v>23</v>
      </c>
      <c r="E2" s="24" t="s">
        <v>15</v>
      </c>
      <c r="F2" s="24" t="s">
        <v>24</v>
      </c>
      <c r="G2" s="24" t="s">
        <v>25</v>
      </c>
      <c r="H2" s="24" t="s">
        <v>27</v>
      </c>
      <c r="I2" s="24" t="s">
        <v>26</v>
      </c>
      <c r="J2" s="24" t="s">
        <v>28</v>
      </c>
      <c r="K2" s="25" t="s">
        <v>18</v>
      </c>
      <c r="L2" s="20"/>
      <c r="M2" s="51" t="s">
        <v>40</v>
      </c>
      <c r="N2" s="51"/>
      <c r="O2" s="10"/>
      <c r="P2" s="51" t="s">
        <v>41</v>
      </c>
      <c r="Q2" s="51"/>
      <c r="R2" s="51"/>
    </row>
    <row r="3" spans="1:20" x14ac:dyDescent="0.45">
      <c r="A3" s="26">
        <v>101</v>
      </c>
      <c r="B3" s="13" t="str">
        <f t="shared" ref="B3:B18" si="0">VLOOKUP(A3,$M$4:$N$7,2,0)</f>
        <v>上野商事</v>
      </c>
      <c r="C3" s="13">
        <v>11</v>
      </c>
      <c r="D3" s="13" t="str">
        <f t="shared" ref="D3:D18" si="1">VLOOKUP(C3,$P$4:$R$7,2,0)</f>
        <v>A</v>
      </c>
      <c r="E3" s="14">
        <v>1556</v>
      </c>
      <c r="F3" s="14">
        <f t="shared" ref="F3:F18" si="2">ROUNDDOWN(VLOOKUP(D3,$Q$4:$R$7,2,0)*1.28,-1)</f>
        <v>1220</v>
      </c>
      <c r="G3" s="14">
        <f t="shared" ref="G3:G18" si="3">E3*F3</f>
        <v>1898320</v>
      </c>
      <c r="H3" s="15" cm="1">
        <f t="array" ref="H3">VLOOKUP(E3,$Q$12:$T$14,INT(C3/10)+2,1)</f>
        <v>7.3999999999999996E-2</v>
      </c>
      <c r="I3" s="14">
        <f t="shared" ref="I3:I18" si="4">ROUND(G3*H3,-1)</f>
        <v>140480</v>
      </c>
      <c r="J3" s="14">
        <f t="shared" ref="J3:J18" si="5">G3-I3</f>
        <v>1757840</v>
      </c>
      <c r="K3" s="27" t="str">
        <f t="shared" ref="K3:K18" si="6">IF(AND(E3&lt;2000,J3&gt;=2000000),$R$18,IF(AND(E3&lt;2000,J3&gt;=1500000),$R$19,$R$20))</f>
        <v>**</v>
      </c>
      <c r="L3" s="21"/>
      <c r="M3" s="5" t="s">
        <v>0</v>
      </c>
      <c r="N3" s="5" t="s">
        <v>3</v>
      </c>
      <c r="O3" s="11"/>
      <c r="P3" s="6" t="s">
        <v>8</v>
      </c>
      <c r="Q3" s="6" t="s">
        <v>9</v>
      </c>
      <c r="R3" s="6" t="s">
        <v>10</v>
      </c>
    </row>
    <row r="4" spans="1:20" x14ac:dyDescent="0.45">
      <c r="A4" s="26">
        <v>102</v>
      </c>
      <c r="B4" s="13" t="str">
        <f t="shared" si="0"/>
        <v>ナカガワ</v>
      </c>
      <c r="C4" s="13">
        <v>11</v>
      </c>
      <c r="D4" s="13" t="str">
        <f t="shared" si="1"/>
        <v>A</v>
      </c>
      <c r="E4" s="14">
        <v>1983</v>
      </c>
      <c r="F4" s="14">
        <f t="shared" si="2"/>
        <v>1220</v>
      </c>
      <c r="G4" s="14">
        <f t="shared" si="3"/>
        <v>2419260</v>
      </c>
      <c r="H4" s="15" cm="1">
        <f t="array" ref="H4">VLOOKUP(E4,$Q$12:$T$14,INT(C4/10)+2,1)</f>
        <v>7.5999999999999998E-2</v>
      </c>
      <c r="I4" s="14">
        <f t="shared" si="4"/>
        <v>183860</v>
      </c>
      <c r="J4" s="14">
        <f t="shared" si="5"/>
        <v>2235400</v>
      </c>
      <c r="K4" s="27" t="str">
        <f t="shared" si="6"/>
        <v>***</v>
      </c>
      <c r="L4" s="21"/>
      <c r="M4" s="1">
        <v>101</v>
      </c>
      <c r="N4" s="1" t="s">
        <v>4</v>
      </c>
      <c r="O4" s="12"/>
      <c r="P4" s="3">
        <v>11</v>
      </c>
      <c r="Q4" s="1" t="s">
        <v>11</v>
      </c>
      <c r="R4" s="1">
        <v>960</v>
      </c>
    </row>
    <row r="5" spans="1:20" x14ac:dyDescent="0.45">
      <c r="A5" s="26">
        <v>103</v>
      </c>
      <c r="B5" s="13" t="str">
        <f t="shared" si="0"/>
        <v>中尾総業</v>
      </c>
      <c r="C5" s="13">
        <v>11</v>
      </c>
      <c r="D5" s="13" t="str">
        <f t="shared" si="1"/>
        <v>A</v>
      </c>
      <c r="E5" s="14">
        <v>1496</v>
      </c>
      <c r="F5" s="14">
        <f t="shared" si="2"/>
        <v>1220</v>
      </c>
      <c r="G5" s="14">
        <f t="shared" si="3"/>
        <v>1825120</v>
      </c>
      <c r="H5" s="15" cm="1">
        <f t="array" ref="H5">VLOOKUP(E5,$Q$12:$T$14,INT(C5/10)+2,1)</f>
        <v>7.1999999999999995E-2</v>
      </c>
      <c r="I5" s="14">
        <f t="shared" si="4"/>
        <v>131410</v>
      </c>
      <c r="J5" s="14">
        <f t="shared" si="5"/>
        <v>1693710</v>
      </c>
      <c r="K5" s="27" t="str">
        <f t="shared" si="6"/>
        <v>**</v>
      </c>
      <c r="L5" s="21"/>
      <c r="M5" s="1">
        <v>102</v>
      </c>
      <c r="N5" s="1" t="s">
        <v>5</v>
      </c>
      <c r="O5" s="12"/>
      <c r="P5" s="3">
        <v>12</v>
      </c>
      <c r="Q5" s="1" t="s">
        <v>12</v>
      </c>
      <c r="R5" s="1">
        <v>840</v>
      </c>
    </row>
    <row r="6" spans="1:20" x14ac:dyDescent="0.45">
      <c r="A6" s="26">
        <v>104</v>
      </c>
      <c r="B6" s="13" t="str">
        <f t="shared" si="0"/>
        <v>下川商店</v>
      </c>
      <c r="C6" s="13">
        <v>11</v>
      </c>
      <c r="D6" s="13" t="str">
        <f t="shared" si="1"/>
        <v>A</v>
      </c>
      <c r="E6" s="14">
        <v>1839</v>
      </c>
      <c r="F6" s="14">
        <f t="shared" si="2"/>
        <v>1220</v>
      </c>
      <c r="G6" s="14">
        <f t="shared" si="3"/>
        <v>2243580</v>
      </c>
      <c r="H6" s="15" cm="1">
        <f t="array" ref="H6">VLOOKUP(E6,$Q$12:$T$14,INT(C6/10)+2,1)</f>
        <v>7.5999999999999998E-2</v>
      </c>
      <c r="I6" s="14">
        <f t="shared" si="4"/>
        <v>170510</v>
      </c>
      <c r="J6" s="14">
        <f t="shared" si="5"/>
        <v>2073070</v>
      </c>
      <c r="K6" s="27" t="str">
        <f t="shared" si="6"/>
        <v>***</v>
      </c>
      <c r="L6" s="21"/>
      <c r="M6" s="1">
        <v>103</v>
      </c>
      <c r="N6" s="1" t="s">
        <v>6</v>
      </c>
      <c r="O6" s="12"/>
      <c r="P6" s="3">
        <v>21</v>
      </c>
      <c r="Q6" s="1" t="s">
        <v>13</v>
      </c>
      <c r="R6" s="1">
        <v>880</v>
      </c>
    </row>
    <row r="7" spans="1:20" x14ac:dyDescent="0.45">
      <c r="A7" s="26">
        <v>101</v>
      </c>
      <c r="B7" s="13" t="str">
        <f t="shared" si="0"/>
        <v>上野商事</v>
      </c>
      <c r="C7" s="13">
        <v>12</v>
      </c>
      <c r="D7" s="13" t="str">
        <f t="shared" si="1"/>
        <v>B</v>
      </c>
      <c r="E7" s="14">
        <v>1693</v>
      </c>
      <c r="F7" s="14">
        <f t="shared" si="2"/>
        <v>1070</v>
      </c>
      <c r="G7" s="14">
        <f t="shared" si="3"/>
        <v>1811510</v>
      </c>
      <c r="H7" s="15" cm="1">
        <f t="array" ref="H7">VLOOKUP(E7,$Q$12:$T$14,INT(C7/10)+2,1)</f>
        <v>7.3999999999999996E-2</v>
      </c>
      <c r="I7" s="14">
        <f t="shared" si="4"/>
        <v>134050</v>
      </c>
      <c r="J7" s="14">
        <f t="shared" si="5"/>
        <v>1677460</v>
      </c>
      <c r="K7" s="27" t="str">
        <f t="shared" si="6"/>
        <v>**</v>
      </c>
      <c r="M7" s="1">
        <v>104</v>
      </c>
      <c r="N7" s="1" t="s">
        <v>7</v>
      </c>
      <c r="O7" s="12"/>
      <c r="P7" s="3">
        <v>22</v>
      </c>
      <c r="Q7" s="1" t="s">
        <v>14</v>
      </c>
      <c r="R7" s="1">
        <v>920</v>
      </c>
    </row>
    <row r="8" spans="1:20" x14ac:dyDescent="0.45">
      <c r="A8" s="26">
        <v>102</v>
      </c>
      <c r="B8" s="13" t="str">
        <f t="shared" si="0"/>
        <v>ナカガワ</v>
      </c>
      <c r="C8" s="13">
        <v>12</v>
      </c>
      <c r="D8" s="13" t="str">
        <f t="shared" si="1"/>
        <v>B</v>
      </c>
      <c r="E8" s="14">
        <v>1766</v>
      </c>
      <c r="F8" s="14">
        <f t="shared" si="2"/>
        <v>1070</v>
      </c>
      <c r="G8" s="14">
        <f t="shared" si="3"/>
        <v>1889620</v>
      </c>
      <c r="H8" s="15" cm="1">
        <f t="array" ref="H8">VLOOKUP(E8,$Q$12:$T$14,INT(C8/10)+2,1)</f>
        <v>7.3999999999999996E-2</v>
      </c>
      <c r="I8" s="14">
        <f t="shared" si="4"/>
        <v>139830</v>
      </c>
      <c r="J8" s="14">
        <f t="shared" si="5"/>
        <v>1749790</v>
      </c>
      <c r="K8" s="27" t="str">
        <f t="shared" si="6"/>
        <v>**</v>
      </c>
    </row>
    <row r="9" spans="1:20" x14ac:dyDescent="0.45">
      <c r="A9" s="26">
        <v>103</v>
      </c>
      <c r="B9" s="13" t="str">
        <f t="shared" si="0"/>
        <v>中尾総業</v>
      </c>
      <c r="C9" s="13">
        <v>12</v>
      </c>
      <c r="D9" s="13" t="str">
        <f t="shared" si="1"/>
        <v>B</v>
      </c>
      <c r="E9" s="14">
        <v>1228</v>
      </c>
      <c r="F9" s="14">
        <f t="shared" si="2"/>
        <v>1070</v>
      </c>
      <c r="G9" s="14">
        <f t="shared" si="3"/>
        <v>1313960</v>
      </c>
      <c r="H9" s="15" cm="1">
        <f t="array" ref="H9">VLOOKUP(E9,$Q$12:$T$14,INT(C9/10)+2,1)</f>
        <v>7.1999999999999995E-2</v>
      </c>
      <c r="I9" s="14">
        <f t="shared" si="4"/>
        <v>94610</v>
      </c>
      <c r="J9" s="14">
        <f t="shared" si="5"/>
        <v>1219350</v>
      </c>
      <c r="K9" s="27" t="str">
        <f t="shared" si="6"/>
        <v>*</v>
      </c>
      <c r="M9" s="51" t="s">
        <v>43</v>
      </c>
      <c r="N9" s="51"/>
      <c r="O9" s="51"/>
      <c r="P9" s="51"/>
      <c r="Q9" s="59" t="s">
        <v>43</v>
      </c>
      <c r="R9" s="59"/>
      <c r="S9" s="59"/>
      <c r="T9" s="59"/>
    </row>
    <row r="10" spans="1:20" x14ac:dyDescent="0.45">
      <c r="A10" s="26">
        <v>104</v>
      </c>
      <c r="B10" s="13" t="str">
        <f t="shared" si="0"/>
        <v>下川商店</v>
      </c>
      <c r="C10" s="13">
        <v>12</v>
      </c>
      <c r="D10" s="13" t="str">
        <f t="shared" si="1"/>
        <v>B</v>
      </c>
      <c r="E10" s="14">
        <v>1464</v>
      </c>
      <c r="F10" s="14">
        <f t="shared" si="2"/>
        <v>1070</v>
      </c>
      <c r="G10" s="14">
        <f t="shared" si="3"/>
        <v>1566480</v>
      </c>
      <c r="H10" s="15" cm="1">
        <f t="array" ref="H10">VLOOKUP(E10,$Q$12:$T$14,INT(C10/10)+2,1)</f>
        <v>7.1999999999999995E-2</v>
      </c>
      <c r="I10" s="14">
        <f t="shared" si="4"/>
        <v>112790</v>
      </c>
      <c r="J10" s="14">
        <f t="shared" si="5"/>
        <v>1453690</v>
      </c>
      <c r="K10" s="27" t="str">
        <f t="shared" si="6"/>
        <v>*</v>
      </c>
      <c r="M10" s="55" t="s">
        <v>2</v>
      </c>
      <c r="N10" s="55"/>
      <c r="O10" s="55" t="s">
        <v>1</v>
      </c>
      <c r="P10" s="55"/>
      <c r="Q10" s="60" t="s">
        <v>15</v>
      </c>
      <c r="R10" s="60"/>
      <c r="S10" s="60" t="s">
        <v>8</v>
      </c>
      <c r="T10" s="60"/>
    </row>
    <row r="11" spans="1:20" x14ac:dyDescent="0.45">
      <c r="A11" s="26">
        <v>101</v>
      </c>
      <c r="B11" s="13" t="str">
        <f t="shared" si="0"/>
        <v>上野商事</v>
      </c>
      <c r="C11" s="13">
        <v>21</v>
      </c>
      <c r="D11" s="13" t="str">
        <f t="shared" si="1"/>
        <v>C</v>
      </c>
      <c r="E11" s="14">
        <v>2080</v>
      </c>
      <c r="F11" s="14">
        <f t="shared" si="2"/>
        <v>1120</v>
      </c>
      <c r="G11" s="14">
        <f t="shared" si="3"/>
        <v>2329600</v>
      </c>
      <c r="H11" s="15" cm="1">
        <f t="array" ref="H11">VLOOKUP(E11,$Q$12:$T$14,INT(C11/10)+2,1)</f>
        <v>8.5000000000000006E-2</v>
      </c>
      <c r="I11" s="14">
        <f t="shared" si="4"/>
        <v>198020</v>
      </c>
      <c r="J11" s="14">
        <f t="shared" si="5"/>
        <v>2131580</v>
      </c>
      <c r="K11" s="27" t="str">
        <f t="shared" si="6"/>
        <v>*</v>
      </c>
      <c r="M11" s="55"/>
      <c r="N11" s="55"/>
      <c r="O11" s="18" t="s">
        <v>16</v>
      </c>
      <c r="P11" s="18" t="s">
        <v>17</v>
      </c>
      <c r="Q11" s="60"/>
      <c r="R11" s="60"/>
      <c r="S11" s="61" t="s">
        <v>16</v>
      </c>
      <c r="T11" s="61" t="s">
        <v>17</v>
      </c>
    </row>
    <row r="12" spans="1:20" x14ac:dyDescent="0.45">
      <c r="A12" s="26">
        <v>102</v>
      </c>
      <c r="B12" s="13" t="str">
        <f t="shared" si="0"/>
        <v>ナカガワ</v>
      </c>
      <c r="C12" s="13">
        <v>21</v>
      </c>
      <c r="D12" s="13" t="str">
        <f t="shared" si="1"/>
        <v>C</v>
      </c>
      <c r="E12" s="14">
        <v>1238</v>
      </c>
      <c r="F12" s="14">
        <f t="shared" si="2"/>
        <v>1120</v>
      </c>
      <c r="G12" s="14">
        <f t="shared" si="3"/>
        <v>1386560</v>
      </c>
      <c r="H12" s="15" cm="1">
        <f t="array" ref="H12">VLOOKUP(E12,$Q$12:$T$14,INT(C12/10)+2,1)</f>
        <v>8.1000000000000003E-2</v>
      </c>
      <c r="I12" s="14">
        <f t="shared" si="4"/>
        <v>112310</v>
      </c>
      <c r="J12" s="14">
        <f t="shared" si="5"/>
        <v>1274250</v>
      </c>
      <c r="K12" s="27" t="str">
        <f t="shared" si="6"/>
        <v>*</v>
      </c>
      <c r="M12" s="49" t="s">
        <v>60</v>
      </c>
      <c r="N12" s="49"/>
      <c r="O12" s="7">
        <v>7.1999999999999995E-2</v>
      </c>
      <c r="P12" s="7">
        <v>8.1000000000000003E-2</v>
      </c>
      <c r="Q12" s="62">
        <v>1</v>
      </c>
      <c r="R12" s="62"/>
      <c r="S12" s="63">
        <v>7.1999999999999995E-2</v>
      </c>
      <c r="T12" s="63">
        <v>8.1000000000000003E-2</v>
      </c>
    </row>
    <row r="13" spans="1:20" x14ac:dyDescent="0.45">
      <c r="A13" s="26">
        <v>103</v>
      </c>
      <c r="B13" s="13" t="str">
        <f t="shared" si="0"/>
        <v>中尾総業</v>
      </c>
      <c r="C13" s="13">
        <v>21</v>
      </c>
      <c r="D13" s="13" t="str">
        <f t="shared" si="1"/>
        <v>C</v>
      </c>
      <c r="E13" s="14">
        <v>1436</v>
      </c>
      <c r="F13" s="14">
        <f t="shared" si="2"/>
        <v>1120</v>
      </c>
      <c r="G13" s="14">
        <f t="shared" si="3"/>
        <v>1608320</v>
      </c>
      <c r="H13" s="15" cm="1">
        <f t="array" ref="H13">VLOOKUP(E13,$Q$12:$T$14,INT(C13/10)+2,1)</f>
        <v>8.1000000000000003E-2</v>
      </c>
      <c r="I13" s="14">
        <f t="shared" si="4"/>
        <v>130270</v>
      </c>
      <c r="J13" s="14">
        <f t="shared" si="5"/>
        <v>1478050</v>
      </c>
      <c r="K13" s="27" t="str">
        <f t="shared" si="6"/>
        <v>*</v>
      </c>
      <c r="M13" s="49" t="s">
        <v>61</v>
      </c>
      <c r="N13" s="49"/>
      <c r="O13" s="7">
        <v>7.3999999999999996E-2</v>
      </c>
      <c r="P13" s="7">
        <v>8.3000000000000004E-2</v>
      </c>
      <c r="Q13" s="62">
        <v>1500</v>
      </c>
      <c r="R13" s="62"/>
      <c r="S13" s="63">
        <v>7.3999999999999996E-2</v>
      </c>
      <c r="T13" s="63">
        <v>8.3000000000000004E-2</v>
      </c>
    </row>
    <row r="14" spans="1:20" x14ac:dyDescent="0.45">
      <c r="A14" s="26">
        <v>104</v>
      </c>
      <c r="B14" s="13" t="str">
        <f t="shared" si="0"/>
        <v>下川商店</v>
      </c>
      <c r="C14" s="13">
        <v>21</v>
      </c>
      <c r="D14" s="13" t="str">
        <f t="shared" si="1"/>
        <v>C</v>
      </c>
      <c r="E14" s="14">
        <v>2050</v>
      </c>
      <c r="F14" s="14">
        <f t="shared" si="2"/>
        <v>1120</v>
      </c>
      <c r="G14" s="14">
        <f t="shared" si="3"/>
        <v>2296000</v>
      </c>
      <c r="H14" s="15" cm="1">
        <f t="array" ref="H14">VLOOKUP(E14,$Q$12:$T$14,INT(C14/10)+2,1)</f>
        <v>8.5000000000000006E-2</v>
      </c>
      <c r="I14" s="14">
        <f t="shared" si="4"/>
        <v>195160</v>
      </c>
      <c r="J14" s="14">
        <f t="shared" si="5"/>
        <v>2100840</v>
      </c>
      <c r="K14" s="27" t="str">
        <f t="shared" si="6"/>
        <v>*</v>
      </c>
      <c r="M14" s="49" t="s">
        <v>62</v>
      </c>
      <c r="N14" s="49"/>
      <c r="O14" s="7">
        <v>7.5999999999999998E-2</v>
      </c>
      <c r="P14" s="7">
        <v>8.5000000000000006E-2</v>
      </c>
      <c r="Q14" s="62">
        <v>1800</v>
      </c>
      <c r="R14" s="62"/>
      <c r="S14" s="63">
        <v>7.5999999999999998E-2</v>
      </c>
      <c r="T14" s="63">
        <v>8.5000000000000006E-2</v>
      </c>
    </row>
    <row r="15" spans="1:20" x14ac:dyDescent="0.45">
      <c r="A15" s="26">
        <v>101</v>
      </c>
      <c r="B15" s="13" t="str">
        <f t="shared" si="0"/>
        <v>上野商事</v>
      </c>
      <c r="C15" s="13">
        <v>22</v>
      </c>
      <c r="D15" s="13" t="str">
        <f t="shared" si="1"/>
        <v>D</v>
      </c>
      <c r="E15" s="14">
        <v>1325</v>
      </c>
      <c r="F15" s="14">
        <f t="shared" si="2"/>
        <v>1170</v>
      </c>
      <c r="G15" s="14">
        <f t="shared" si="3"/>
        <v>1550250</v>
      </c>
      <c r="H15" s="15" cm="1">
        <f t="array" ref="H15">VLOOKUP(E15,$Q$12:$T$14,INT(C15/10)+2,1)</f>
        <v>8.1000000000000003E-2</v>
      </c>
      <c r="I15" s="14">
        <f t="shared" si="4"/>
        <v>125570</v>
      </c>
      <c r="J15" s="14">
        <f t="shared" si="5"/>
        <v>1424680</v>
      </c>
      <c r="K15" s="27" t="str">
        <f t="shared" si="6"/>
        <v>*</v>
      </c>
    </row>
    <row r="16" spans="1:20" x14ac:dyDescent="0.45">
      <c r="A16" s="26">
        <v>102</v>
      </c>
      <c r="B16" s="13" t="str">
        <f t="shared" si="0"/>
        <v>ナカガワ</v>
      </c>
      <c r="C16" s="13">
        <v>22</v>
      </c>
      <c r="D16" s="13" t="str">
        <f t="shared" si="1"/>
        <v>D</v>
      </c>
      <c r="E16" s="14">
        <v>1510</v>
      </c>
      <c r="F16" s="14">
        <f t="shared" si="2"/>
        <v>1170</v>
      </c>
      <c r="G16" s="14">
        <f t="shared" si="3"/>
        <v>1766700</v>
      </c>
      <c r="H16" s="15" cm="1">
        <f t="array" ref="H16">VLOOKUP(E16,$Q$12:$T$14,INT(C16/10)+2,1)</f>
        <v>8.3000000000000004E-2</v>
      </c>
      <c r="I16" s="14">
        <f t="shared" si="4"/>
        <v>146640</v>
      </c>
      <c r="J16" s="14">
        <f t="shared" si="5"/>
        <v>1620060</v>
      </c>
      <c r="K16" s="27" t="str">
        <f t="shared" si="6"/>
        <v>**</v>
      </c>
      <c r="M16" s="51" t="s">
        <v>44</v>
      </c>
      <c r="N16" s="51"/>
      <c r="O16" s="51"/>
      <c r="P16" s="51"/>
      <c r="Q16" s="51"/>
    </row>
    <row r="17" spans="1:18" x14ac:dyDescent="0.45">
      <c r="A17" s="26">
        <v>103</v>
      </c>
      <c r="B17" s="13" t="str">
        <f t="shared" si="0"/>
        <v>中尾総業</v>
      </c>
      <c r="C17" s="13">
        <v>22</v>
      </c>
      <c r="D17" s="13" t="str">
        <f t="shared" si="1"/>
        <v>D</v>
      </c>
      <c r="E17" s="14">
        <v>1427</v>
      </c>
      <c r="F17" s="14">
        <f t="shared" si="2"/>
        <v>1170</v>
      </c>
      <c r="G17" s="14">
        <f t="shared" si="3"/>
        <v>1669590</v>
      </c>
      <c r="H17" s="15" cm="1">
        <f t="array" ref="H17">VLOOKUP(E17,$Q$12:$T$14,INT(C17/10)+2,1)</f>
        <v>8.1000000000000003E-2</v>
      </c>
      <c r="I17" s="14">
        <f t="shared" si="4"/>
        <v>135240</v>
      </c>
      <c r="J17" s="14">
        <f t="shared" si="5"/>
        <v>1534350</v>
      </c>
      <c r="K17" s="27" t="str">
        <f t="shared" si="6"/>
        <v>**</v>
      </c>
      <c r="M17" s="52" t="s">
        <v>42</v>
      </c>
      <c r="N17" s="53"/>
      <c r="O17" s="53"/>
      <c r="P17" s="53"/>
      <c r="Q17" s="54"/>
      <c r="R17" s="5" t="s">
        <v>18</v>
      </c>
    </row>
    <row r="18" spans="1:18" x14ac:dyDescent="0.45">
      <c r="A18" s="26">
        <v>104</v>
      </c>
      <c r="B18" s="13" t="str">
        <f t="shared" si="0"/>
        <v>下川商店</v>
      </c>
      <c r="C18" s="13">
        <v>22</v>
      </c>
      <c r="D18" s="13" t="str">
        <f t="shared" si="1"/>
        <v>D</v>
      </c>
      <c r="E18" s="14">
        <v>2060</v>
      </c>
      <c r="F18" s="14">
        <f t="shared" si="2"/>
        <v>1170</v>
      </c>
      <c r="G18" s="14">
        <f t="shared" si="3"/>
        <v>2410200</v>
      </c>
      <c r="H18" s="15" cm="1">
        <f t="array" ref="H18">VLOOKUP(E18,$Q$12:$T$14,INT(C18/10)+2,1)</f>
        <v>8.5000000000000006E-2</v>
      </c>
      <c r="I18" s="14">
        <f t="shared" si="4"/>
        <v>204870</v>
      </c>
      <c r="J18" s="14">
        <f t="shared" si="5"/>
        <v>2205330</v>
      </c>
      <c r="K18" s="27" t="str">
        <f t="shared" si="6"/>
        <v>*</v>
      </c>
      <c r="M18" s="43" t="s">
        <v>45</v>
      </c>
      <c r="N18" s="44"/>
      <c r="O18" s="44"/>
      <c r="P18" s="44"/>
      <c r="Q18" s="45"/>
      <c r="R18" s="1" t="s">
        <v>19</v>
      </c>
    </row>
    <row r="19" spans="1:18" x14ac:dyDescent="0.45">
      <c r="A19" s="28"/>
      <c r="B19" s="1"/>
      <c r="C19" s="1"/>
      <c r="D19" s="9"/>
      <c r="E19" s="8"/>
      <c r="F19" s="1"/>
      <c r="G19" s="2"/>
      <c r="H19" s="7"/>
      <c r="I19" s="1"/>
      <c r="J19" s="2"/>
      <c r="K19" s="29"/>
      <c r="M19" s="43" t="s">
        <v>46</v>
      </c>
      <c r="N19" s="44"/>
      <c r="O19" s="44"/>
      <c r="P19" s="44"/>
      <c r="Q19" s="45"/>
      <c r="R19" s="1" t="s">
        <v>20</v>
      </c>
    </row>
    <row r="20" spans="1:18" ht="18.600000000000001" thickBot="1" x14ac:dyDescent="0.5">
      <c r="A20" s="30"/>
      <c r="B20" s="31" t="s">
        <v>33</v>
      </c>
      <c r="C20" s="31"/>
      <c r="D20" s="31"/>
      <c r="E20" s="32">
        <f>SUM(E3:E18)</f>
        <v>26151</v>
      </c>
      <c r="F20" s="31"/>
      <c r="G20" s="32">
        <f>SUM(G3:G18)</f>
        <v>29985070</v>
      </c>
      <c r="H20" s="31"/>
      <c r="I20" s="32">
        <f>SUM(I3:I18)</f>
        <v>2355620</v>
      </c>
      <c r="J20" s="32">
        <f>SUM(J3:J18)</f>
        <v>27629450</v>
      </c>
      <c r="K20" s="33"/>
      <c r="M20" s="43" t="s">
        <v>22</v>
      </c>
      <c r="N20" s="44"/>
      <c r="O20" s="44"/>
      <c r="P20" s="44"/>
      <c r="Q20" s="45"/>
      <c r="R20" s="1" t="s">
        <v>21</v>
      </c>
    </row>
    <row r="22" spans="1:18" ht="18.600000000000001" thickBot="1" x14ac:dyDescent="0.5">
      <c r="A22" s="50" t="s">
        <v>59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8" x14ac:dyDescent="0.45">
      <c r="A23" s="22" t="s">
        <v>0</v>
      </c>
      <c r="B23" s="23" t="s">
        <v>3</v>
      </c>
      <c r="C23" s="23" t="s">
        <v>1</v>
      </c>
      <c r="D23" s="24" t="s">
        <v>23</v>
      </c>
      <c r="E23" s="24" t="s">
        <v>2</v>
      </c>
      <c r="F23" s="24" t="s">
        <v>24</v>
      </c>
      <c r="G23" s="24" t="s">
        <v>25</v>
      </c>
      <c r="H23" s="24" t="s">
        <v>27</v>
      </c>
      <c r="I23" s="24" t="s">
        <v>26</v>
      </c>
      <c r="J23" s="24" t="s">
        <v>28</v>
      </c>
      <c r="K23" s="25" t="s">
        <v>18</v>
      </c>
      <c r="M23" s="16" t="s">
        <v>47</v>
      </c>
      <c r="N23" s="16" t="s">
        <v>47</v>
      </c>
      <c r="O23" s="16" t="s">
        <v>47</v>
      </c>
      <c r="P23" s="16" t="s">
        <v>47</v>
      </c>
    </row>
    <row r="24" spans="1:18" x14ac:dyDescent="0.45">
      <c r="A24" s="26">
        <v>102</v>
      </c>
      <c r="B24" s="13" t="str">
        <f>VLOOKUP(A24,$M$4:$N$7,2,0)</f>
        <v>ナカガワ</v>
      </c>
      <c r="C24" s="13">
        <v>11</v>
      </c>
      <c r="D24" s="13" t="str">
        <f>VLOOKUP(C24,$P$4:$R$7,2,0)</f>
        <v>A</v>
      </c>
      <c r="E24" s="14">
        <v>1983</v>
      </c>
      <c r="F24" s="14">
        <f>ROUNDDOWN(VLOOKUP(D24,$Q$4:$R$7,2,0)*1.28,-1)</f>
        <v>1220</v>
      </c>
      <c r="G24" s="14">
        <f>E24*F24</f>
        <v>2419260</v>
      </c>
      <c r="H24" s="15" cm="1">
        <f t="array" ref="H24">VLOOKUP(E24,$Q$12:$T$14,INT(C24/10)+2,1)</f>
        <v>7.5999999999999998E-2</v>
      </c>
      <c r="I24" s="14">
        <f>ROUND(G24*H24,-1)</f>
        <v>183860</v>
      </c>
      <c r="J24" s="14">
        <f>G24-I24</f>
        <v>2235400</v>
      </c>
      <c r="K24" s="27" t="str">
        <f>IF(AND(E24&lt;2000,J24&gt;=2000000),$R$18,IF(AND(E24&lt;2000,J24&gt;=1500000),$R$19,$R$20))</f>
        <v>***</v>
      </c>
      <c r="M24" s="16" t="s">
        <v>48</v>
      </c>
      <c r="N24" s="16" t="s">
        <v>49</v>
      </c>
      <c r="O24" s="16" t="s">
        <v>52</v>
      </c>
      <c r="P24" s="16" t="s">
        <v>50</v>
      </c>
    </row>
    <row r="25" spans="1:18" x14ac:dyDescent="0.45">
      <c r="A25" s="26">
        <v>101</v>
      </c>
      <c r="B25" s="13" t="str">
        <f>VLOOKUP(A25,$M$4:$N$7,2,0)</f>
        <v>上野商事</v>
      </c>
      <c r="C25" s="13">
        <v>21</v>
      </c>
      <c r="D25" s="13" t="str">
        <f>VLOOKUP(C25,$P$4:$R$7,2,0)</f>
        <v>C</v>
      </c>
      <c r="E25" s="14">
        <v>2080</v>
      </c>
      <c r="F25" s="14">
        <f>ROUNDDOWN(VLOOKUP(D25,$Q$4:$R$7,2,0)*1.28,-1)</f>
        <v>1120</v>
      </c>
      <c r="G25" s="14">
        <f>E25*F25</f>
        <v>2329600</v>
      </c>
      <c r="H25" s="15" cm="1">
        <f t="array" ref="H25">VLOOKUP(E25,$Q$12:$T$14,INT(C25/10)+2,1)</f>
        <v>8.5000000000000006E-2</v>
      </c>
      <c r="I25" s="14">
        <f>ROUND(G25*H25,-1)</f>
        <v>198020</v>
      </c>
      <c r="J25" s="14">
        <f>G25-I25</f>
        <v>2131580</v>
      </c>
      <c r="K25" s="27" t="str">
        <f>IF(AND(E25&lt;2000,J25&gt;=2000000),$R$18,IF(AND(E25&lt;2000,J25&gt;=1500000),$R$19,$R$20))</f>
        <v>*</v>
      </c>
    </row>
    <row r="26" spans="1:18" x14ac:dyDescent="0.45">
      <c r="A26" s="26">
        <v>104</v>
      </c>
      <c r="B26" s="13" t="str">
        <f>VLOOKUP(A26,$M$4:$N$7,2,0)</f>
        <v>下川商店</v>
      </c>
      <c r="C26" s="13">
        <v>21</v>
      </c>
      <c r="D26" s="13" t="str">
        <f>VLOOKUP(C26,$P$4:$R$7,2,0)</f>
        <v>C</v>
      </c>
      <c r="E26" s="14">
        <v>2050</v>
      </c>
      <c r="F26" s="14">
        <f>ROUNDDOWN(VLOOKUP(D26,$Q$4:$R$7,2,0)*1.28,-1)</f>
        <v>1120</v>
      </c>
      <c r="G26" s="14">
        <f>E26*F26</f>
        <v>2296000</v>
      </c>
      <c r="H26" s="15" cm="1">
        <f t="array" ref="H26">VLOOKUP(E26,$Q$12:$T$14,INT(C26/10)+2,1)</f>
        <v>8.5000000000000006E-2</v>
      </c>
      <c r="I26" s="14">
        <f>ROUND(G26*H26,-1)</f>
        <v>195160</v>
      </c>
      <c r="J26" s="14">
        <f>G26-I26</f>
        <v>2100840</v>
      </c>
      <c r="K26" s="27" t="str">
        <f>IF(AND(E26&lt;2000,J26&gt;=2000000),$R$18,IF(AND(E26&lt;2000,J26&gt;=1500000),$R$19,$R$20))</f>
        <v>*</v>
      </c>
      <c r="M26" s="16" t="s">
        <v>34</v>
      </c>
      <c r="N26" s="16" t="s">
        <v>36</v>
      </c>
      <c r="O26" s="16" t="s">
        <v>2</v>
      </c>
      <c r="P26" s="16" t="s">
        <v>54</v>
      </c>
      <c r="Q26" s="16" t="s">
        <v>56</v>
      </c>
    </row>
    <row r="27" spans="1:18" x14ac:dyDescent="0.45">
      <c r="A27" s="26">
        <v>104</v>
      </c>
      <c r="B27" s="13" t="str">
        <f>VLOOKUP(A27,$M$4:$N$7,2,0)</f>
        <v>下川商店</v>
      </c>
      <c r="C27" s="13">
        <v>11</v>
      </c>
      <c r="D27" s="13" t="str">
        <f>VLOOKUP(C27,$P$4:$R$7,2,0)</f>
        <v>A</v>
      </c>
      <c r="E27" s="14">
        <v>1839</v>
      </c>
      <c r="F27" s="14">
        <f>ROUNDDOWN(VLOOKUP(D27,$Q$4:$R$7,2,0)*1.28,-1)</f>
        <v>1220</v>
      </c>
      <c r="G27" s="14">
        <f>E27*F27</f>
        <v>2243580</v>
      </c>
      <c r="H27" s="15" cm="1">
        <f t="array" ref="H27">VLOOKUP(E27,$Q$12:$T$14,INT(C27/10)+2,1)</f>
        <v>7.5999999999999998E-2</v>
      </c>
      <c r="I27" s="14">
        <f>ROUND(G27*H27,-1)</f>
        <v>170510</v>
      </c>
      <c r="J27" s="14">
        <f>G27-I27</f>
        <v>2073070</v>
      </c>
      <c r="K27" s="27" t="str">
        <f>IF(AND(E27&lt;2000,J27&gt;=2000000),$R$18,IF(AND(E27&lt;2000,J27&gt;=1500000),$R$19,$R$20))</f>
        <v>***</v>
      </c>
      <c r="M27" s="16" t="s">
        <v>35</v>
      </c>
      <c r="N27" s="16" t="s">
        <v>37</v>
      </c>
      <c r="O27" s="16" t="s">
        <v>53</v>
      </c>
      <c r="P27" s="16" t="s">
        <v>55</v>
      </c>
      <c r="Q27" s="16" t="s">
        <v>57</v>
      </c>
    </row>
    <row r="28" spans="1:18" x14ac:dyDescent="0.45">
      <c r="A28" s="28"/>
      <c r="B28" s="1"/>
      <c r="C28" s="1"/>
      <c r="D28" s="9"/>
      <c r="E28" s="8"/>
      <c r="F28" s="1"/>
      <c r="G28" s="2"/>
      <c r="H28" s="7"/>
      <c r="I28" s="1"/>
      <c r="J28" s="2"/>
      <c r="K28" s="29"/>
    </row>
    <row r="29" spans="1:18" ht="18.600000000000001" thickBot="1" x14ac:dyDescent="0.5">
      <c r="A29" s="30"/>
      <c r="B29" s="31" t="s">
        <v>33</v>
      </c>
      <c r="C29" s="31"/>
      <c r="D29" s="31"/>
      <c r="E29" s="32">
        <f>SUM(E24:E27)</f>
        <v>7952</v>
      </c>
      <c r="F29" s="31"/>
      <c r="G29" s="32">
        <f>SUM(G24:G27)</f>
        <v>9288440</v>
      </c>
      <c r="H29" s="31"/>
      <c r="I29" s="32">
        <f>SUM(I24:I27)</f>
        <v>747550</v>
      </c>
      <c r="J29" s="32">
        <f>SUM(J24:J27)</f>
        <v>8540890</v>
      </c>
      <c r="K29" s="33"/>
    </row>
    <row r="30" spans="1:18" x14ac:dyDescent="0.45">
      <c r="A30" s="20"/>
      <c r="B30" s="20"/>
      <c r="C30" s="20"/>
      <c r="D30" s="20"/>
      <c r="E30" s="19"/>
      <c r="F30" s="20"/>
      <c r="G30" s="19"/>
      <c r="H30" s="20"/>
      <c r="I30" s="19"/>
      <c r="J30" s="19"/>
      <c r="K30" s="20"/>
    </row>
    <row r="31" spans="1:18" ht="18.600000000000001" thickBot="1" x14ac:dyDescent="0.5">
      <c r="A31" s="50" t="s">
        <v>39</v>
      </c>
      <c r="B31" s="50"/>
      <c r="C31" s="50"/>
      <c r="D31" s="50"/>
    </row>
    <row r="32" spans="1:18" x14ac:dyDescent="0.45">
      <c r="A32" s="34" t="s">
        <v>29</v>
      </c>
      <c r="B32" s="24" t="s">
        <v>15</v>
      </c>
      <c r="C32" s="24" t="s">
        <v>25</v>
      </c>
      <c r="D32" s="25" t="s">
        <v>26</v>
      </c>
      <c r="F32" s="46" t="s">
        <v>30</v>
      </c>
      <c r="G32" s="47"/>
      <c r="H32" s="47"/>
      <c r="I32" s="47"/>
      <c r="J32" s="47"/>
      <c r="K32" s="41">
        <f>DAVERAGE($A$2:$K$18,10,$M$26:$M$27)</f>
        <v>1720394.1666666667</v>
      </c>
    </row>
    <row r="33" spans="1:11" x14ac:dyDescent="0.45">
      <c r="A33" s="35" t="s">
        <v>4</v>
      </c>
      <c r="B33" s="14">
        <f>DSUM($A$2:$K$18,5,$M$23:$M$24)</f>
        <v>6654</v>
      </c>
      <c r="C33" s="14">
        <f>DSUM($A$2:$K$18,7,$M$23:$M$24)</f>
        <v>7589680</v>
      </c>
      <c r="D33" s="36">
        <f>DSUM($A$2:$K$18,9,$M$23:$M$24)</f>
        <v>598120</v>
      </c>
      <c r="F33" s="48" t="s">
        <v>31</v>
      </c>
      <c r="G33" s="49"/>
      <c r="H33" s="49"/>
      <c r="I33" s="49"/>
      <c r="J33" s="49"/>
      <c r="K33" s="36">
        <f>DSUM($A$2:$K$18,9,$N$26:$O$27)</f>
        <v>1550650</v>
      </c>
    </row>
    <row r="34" spans="1:11" ht="18.600000000000001" thickBot="1" x14ac:dyDescent="0.5">
      <c r="A34" s="35" t="s">
        <v>5</v>
      </c>
      <c r="B34" s="14">
        <f>DSUM($A$2:$K$18,5,$N$23:$N$24)</f>
        <v>6497</v>
      </c>
      <c r="C34" s="14">
        <f>DSUM($A$2:$K$18,7,$N$23:$N$24)</f>
        <v>7462140</v>
      </c>
      <c r="D34" s="36">
        <f>DSUM($A$2:$K$18,9,$N$23:$N$24)</f>
        <v>582640</v>
      </c>
      <c r="F34" s="56" t="s">
        <v>32</v>
      </c>
      <c r="G34" s="57"/>
      <c r="H34" s="57"/>
      <c r="I34" s="57"/>
      <c r="J34" s="57"/>
      <c r="K34" s="42">
        <f>DCOUNT($A$2:$K$18,6,$P$26:$Q$27)</f>
        <v>10</v>
      </c>
    </row>
    <row r="35" spans="1:11" ht="18.600000000000001" thickBot="1" x14ac:dyDescent="0.5">
      <c r="A35" s="35" t="s">
        <v>6</v>
      </c>
      <c r="B35" s="14">
        <f>DSUM($A$2:$K$18,5,$O$23:$O$24)</f>
        <v>5587</v>
      </c>
      <c r="C35" s="14">
        <f>DSUM($A$2:$K$18,7,$O$23:$O$24)</f>
        <v>6416990</v>
      </c>
      <c r="D35" s="36">
        <f>DSUM($A$2:$K$18,9,$O$23:$O$24)</f>
        <v>491530</v>
      </c>
      <c r="F35" t="s">
        <v>51</v>
      </c>
      <c r="K35" s="17"/>
    </row>
    <row r="36" spans="1:11" ht="18" customHeight="1" thickBot="1" x14ac:dyDescent="0.5">
      <c r="A36" s="37" t="s">
        <v>7</v>
      </c>
      <c r="B36" s="38">
        <f>DSUM($A$2:$K$18,5,$P$23:$P$24)</f>
        <v>7413</v>
      </c>
      <c r="C36" s="38">
        <f>DSUM($A$2:$K$18,7,$P$23:$P$24)</f>
        <v>8516260</v>
      </c>
      <c r="D36" s="39">
        <f>DSUM($A$2:$K$18,9,$P$23:$P$24)</f>
        <v>683330</v>
      </c>
      <c r="F36" s="46" t="s">
        <v>30</v>
      </c>
      <c r="G36" s="47"/>
      <c r="H36" s="47"/>
      <c r="I36" s="47"/>
      <c r="J36" s="47"/>
      <c r="K36" s="41">
        <f>AVERAGEIF($D$3:$D$18,"&lt;&gt;c",$J$3:$J$18)</f>
        <v>1720394.1666666667</v>
      </c>
    </row>
    <row r="37" spans="1:11" ht="18.600000000000001" thickBot="1" x14ac:dyDescent="0.5">
      <c r="A37" s="40" t="s">
        <v>51</v>
      </c>
      <c r="F37" s="48" t="s">
        <v>31</v>
      </c>
      <c r="G37" s="49"/>
      <c r="H37" s="49"/>
      <c r="I37" s="49"/>
      <c r="J37" s="49"/>
      <c r="K37" s="36">
        <f>SUMIFS($I$3:$I$18,$E$3:$E$18,"&gt;=1300",$E$3:$E$18,"&lt;2000")</f>
        <v>1550650</v>
      </c>
    </row>
    <row r="38" spans="1:11" ht="18.600000000000001" thickBot="1" x14ac:dyDescent="0.5">
      <c r="A38" s="34" t="s">
        <v>3</v>
      </c>
      <c r="B38" s="24" t="s">
        <v>2</v>
      </c>
      <c r="C38" s="24" t="s">
        <v>25</v>
      </c>
      <c r="D38" s="25" t="s">
        <v>26</v>
      </c>
      <c r="F38" s="56" t="s">
        <v>32</v>
      </c>
      <c r="G38" s="57"/>
      <c r="H38" s="57"/>
      <c r="I38" s="57"/>
      <c r="J38" s="57"/>
      <c r="K38" s="42">
        <f>COUNTIFS($F$3:$F$18,"&lt;=1200",$G$3:$G$18,"&gt;=1400000")</f>
        <v>10</v>
      </c>
    </row>
    <row r="39" spans="1:11" x14ac:dyDescent="0.45">
      <c r="A39" s="35" t="s">
        <v>4</v>
      </c>
      <c r="B39" s="14">
        <f>SUMIF($B$3:$B$18,$A39,$E$3:$E$18)</f>
        <v>6654</v>
      </c>
      <c r="C39" s="14">
        <f>SUMIF($B$3:$B$18,$A39,$G$3:$G$18)</f>
        <v>7589680</v>
      </c>
      <c r="D39" s="36">
        <f>SUMIF($B$3:$B$18,$A39,$I$3:$I$18)</f>
        <v>598120</v>
      </c>
    </row>
    <row r="40" spans="1:11" x14ac:dyDescent="0.45">
      <c r="A40" s="35" t="s">
        <v>5</v>
      </c>
      <c r="B40" s="14">
        <f t="shared" ref="B40:B42" si="7">SUMIF($B$3:$B$18,$A40,$E$3:$E$18)</f>
        <v>6497</v>
      </c>
      <c r="C40" s="14">
        <f t="shared" ref="C40:C42" si="8">SUMIF($B$3:$B$18,$A40,$G$3:$G$18)</f>
        <v>7462140</v>
      </c>
      <c r="D40" s="36">
        <f t="shared" ref="D40:D42" si="9">SUMIF($B$3:$B$18,$A40,$I$3:$I$18)</f>
        <v>582640</v>
      </c>
    </row>
    <row r="41" spans="1:11" x14ac:dyDescent="0.45">
      <c r="A41" s="35" t="s">
        <v>6</v>
      </c>
      <c r="B41" s="14">
        <f t="shared" si="7"/>
        <v>5587</v>
      </c>
      <c r="C41" s="14">
        <f t="shared" si="8"/>
        <v>6416990</v>
      </c>
      <c r="D41" s="36">
        <f t="shared" si="9"/>
        <v>491530</v>
      </c>
    </row>
    <row r="42" spans="1:11" ht="18.600000000000001" thickBot="1" x14ac:dyDescent="0.5">
      <c r="A42" s="37" t="s">
        <v>7</v>
      </c>
      <c r="B42" s="38">
        <f t="shared" si="7"/>
        <v>7413</v>
      </c>
      <c r="C42" s="38">
        <f t="shared" si="8"/>
        <v>8516260</v>
      </c>
      <c r="D42" s="39">
        <f t="shared" si="9"/>
        <v>683330</v>
      </c>
    </row>
    <row r="44" spans="1:11" x14ac:dyDescent="0.45">
      <c r="A44" s="58" t="s">
        <v>58</v>
      </c>
      <c r="B44" s="58"/>
      <c r="C44" s="58"/>
      <c r="D44" s="58"/>
    </row>
    <row r="45" spans="1:11" x14ac:dyDescent="0.45">
      <c r="A45" s="58"/>
      <c r="B45" s="58"/>
      <c r="C45" s="58"/>
      <c r="D45" s="58"/>
    </row>
    <row r="46" spans="1:11" x14ac:dyDescent="0.45">
      <c r="A46" s="58"/>
      <c r="B46" s="58"/>
      <c r="C46" s="58"/>
      <c r="D46" s="58"/>
    </row>
    <row r="47" spans="1:11" x14ac:dyDescent="0.45">
      <c r="A47" s="58"/>
      <c r="B47" s="58"/>
      <c r="C47" s="58"/>
      <c r="D47" s="58"/>
    </row>
    <row r="48" spans="1:11" x14ac:dyDescent="0.45">
      <c r="A48" s="58"/>
      <c r="B48" s="58"/>
      <c r="C48" s="58"/>
      <c r="D48" s="58"/>
    </row>
    <row r="49" spans="1:4" x14ac:dyDescent="0.45">
      <c r="A49" s="58"/>
      <c r="B49" s="58"/>
      <c r="C49" s="58"/>
      <c r="D49" s="58"/>
    </row>
  </sheetData>
  <sortState xmlns:xlrd2="http://schemas.microsoft.com/office/spreadsheetml/2017/richdata2" ref="A24:K27">
    <sortCondition descending="1" ref="J24:J27"/>
  </sortState>
  <mergeCells count="29">
    <mergeCell ref="M14:N14"/>
    <mergeCell ref="M9:P9"/>
    <mergeCell ref="M10:N11"/>
    <mergeCell ref="O10:P10"/>
    <mergeCell ref="M12:N12"/>
    <mergeCell ref="M13:N13"/>
    <mergeCell ref="F36:J36"/>
    <mergeCell ref="F37:J37"/>
    <mergeCell ref="F38:J38"/>
    <mergeCell ref="A44:D49"/>
    <mergeCell ref="A1:K1"/>
    <mergeCell ref="A31:D31"/>
    <mergeCell ref="F34:J34"/>
    <mergeCell ref="M2:N2"/>
    <mergeCell ref="P2:R2"/>
    <mergeCell ref="Q9:T9"/>
    <mergeCell ref="M16:Q16"/>
    <mergeCell ref="M17:Q17"/>
    <mergeCell ref="S10:T10"/>
    <mergeCell ref="Q12:R12"/>
    <mergeCell ref="Q13:R13"/>
    <mergeCell ref="Q14:R14"/>
    <mergeCell ref="Q10:R11"/>
    <mergeCell ref="M18:Q18"/>
    <mergeCell ref="M19:Q19"/>
    <mergeCell ref="M20:Q20"/>
    <mergeCell ref="F32:J32"/>
    <mergeCell ref="F33:J33"/>
    <mergeCell ref="A22:K22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 嘉昭</dc:creator>
  <cp:lastModifiedBy>beerk</cp:lastModifiedBy>
  <dcterms:created xsi:type="dcterms:W3CDTF">2020-02-26T23:19:32Z</dcterms:created>
  <dcterms:modified xsi:type="dcterms:W3CDTF">2020-05-08T01:22:07Z</dcterms:modified>
</cp:coreProperties>
</file>