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5CFD9832-BB4B-4C92-B651-AA2315ACA4DE}" xr6:coauthVersionLast="45" xr6:coauthVersionMax="45" xr10:uidLastSave="{00000000-0000-0000-0000-000000000000}"/>
  <bookViews>
    <workbookView xWindow="-108" yWindow="-108" windowWidth="23256" windowHeight="12576" xr2:uid="{820FF4A7-8F51-445E-877B-F17FBE377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C34" i="1"/>
  <c r="B35" i="1"/>
  <c r="C35" i="1"/>
  <c r="B36" i="1"/>
  <c r="C36" i="1"/>
  <c r="C33" i="1"/>
  <c r="B33" i="1"/>
  <c r="E23" i="1" l="1"/>
  <c r="D14" i="1" l="1"/>
  <c r="D12" i="1"/>
  <c r="D13" i="1"/>
  <c r="D15" i="1"/>
  <c r="D11" i="1"/>
  <c r="D17" i="1"/>
  <c r="D19" i="1"/>
  <c r="D20" i="1"/>
  <c r="D16" i="1"/>
  <c r="D21" i="1"/>
  <c r="D18" i="1"/>
  <c r="D10" i="1"/>
  <c r="B14" i="1"/>
  <c r="B12" i="1"/>
  <c r="B13" i="1"/>
  <c r="B15" i="1"/>
  <c r="B11" i="1"/>
  <c r="B17" i="1"/>
  <c r="B19" i="1"/>
  <c r="B20" i="1"/>
  <c r="B16" i="1"/>
  <c r="B21" i="1"/>
  <c r="B18" i="1"/>
  <c r="B10" i="1"/>
  <c r="F4" i="1"/>
  <c r="F5" i="1"/>
  <c r="F6" i="1"/>
  <c r="F3" i="1"/>
  <c r="D4" i="1"/>
  <c r="F13" i="1" s="1"/>
  <c r="D5" i="1"/>
  <c r="E5" i="1" s="1"/>
  <c r="D6" i="1"/>
  <c r="F21" i="1" s="1"/>
  <c r="D3" i="1"/>
  <c r="F12" i="1" s="1"/>
  <c r="G16" i="1" l="1"/>
  <c r="G18" i="1"/>
  <c r="G20" i="1"/>
  <c r="I20" i="1"/>
  <c r="I16" i="1"/>
  <c r="I18" i="1"/>
  <c r="E4" i="1"/>
  <c r="F16" i="1"/>
  <c r="F14" i="1"/>
  <c r="I11" i="1"/>
  <c r="I12" i="1"/>
  <c r="I10" i="1"/>
  <c r="F20" i="1"/>
  <c r="H20" i="1" s="1"/>
  <c r="J20" i="1" s="1"/>
  <c r="K20" i="1" s="1"/>
  <c r="I17" i="1"/>
  <c r="I19" i="1"/>
  <c r="I21" i="1"/>
  <c r="F19" i="1"/>
  <c r="F17" i="1"/>
  <c r="I15" i="1"/>
  <c r="I14" i="1"/>
  <c r="I13" i="1"/>
  <c r="F11" i="1"/>
  <c r="E3" i="1"/>
  <c r="F10" i="1"/>
  <c r="F15" i="1"/>
  <c r="F18" i="1"/>
  <c r="H18" i="1" s="1"/>
  <c r="E6" i="1"/>
  <c r="C30" i="1" l="1"/>
  <c r="B28" i="1"/>
  <c r="J18" i="1"/>
  <c r="G19" i="1"/>
  <c r="G21" i="1"/>
  <c r="H21" i="1" s="1"/>
  <c r="J21" i="1" s="1"/>
  <c r="K21" i="1" s="1"/>
  <c r="G17" i="1"/>
  <c r="B29" i="1"/>
  <c r="H19" i="1"/>
  <c r="J19" i="1" s="1"/>
  <c r="K19" i="1" s="1"/>
  <c r="G14" i="1"/>
  <c r="H14" i="1" s="1"/>
  <c r="J14" i="1" s="1"/>
  <c r="K14" i="1" s="1"/>
  <c r="G15" i="1"/>
  <c r="H15" i="1" s="1"/>
  <c r="J15" i="1" s="1"/>
  <c r="K15" i="1" s="1"/>
  <c r="G13" i="1"/>
  <c r="H13" i="1" s="1"/>
  <c r="J13" i="1" s="1"/>
  <c r="K13" i="1" s="1"/>
  <c r="B27" i="1"/>
  <c r="F23" i="1"/>
  <c r="B30" i="1"/>
  <c r="H16" i="1"/>
  <c r="J16" i="1" s="1"/>
  <c r="K16" i="1" s="1"/>
  <c r="G12" i="1"/>
  <c r="G10" i="1"/>
  <c r="C27" i="1" s="1"/>
  <c r="G11" i="1"/>
  <c r="C28" i="1" s="1"/>
  <c r="I23" i="1"/>
  <c r="K18" i="1"/>
  <c r="H17" i="1" l="1"/>
  <c r="J17" i="1" s="1"/>
  <c r="K17" i="1" s="1"/>
  <c r="C29" i="1"/>
  <c r="H12" i="1"/>
  <c r="J12" i="1" s="1"/>
  <c r="K12" i="1" s="1"/>
  <c r="G23" i="1"/>
  <c r="H10" i="1"/>
  <c r="H11" i="1"/>
  <c r="J11" i="1" s="1"/>
  <c r="K11" i="1" s="1"/>
  <c r="H23" i="1" l="1"/>
  <c r="J10" i="1"/>
  <c r="K10" i="1" l="1"/>
  <c r="J23" i="1"/>
</calcChain>
</file>

<file path=xl/sharedStrings.xml><?xml version="1.0" encoding="utf-8"?>
<sst xmlns="http://schemas.openxmlformats.org/spreadsheetml/2006/main" count="67" uniqueCount="41">
  <si>
    <t>番号</t>
    <rPh sb="0" eb="2">
      <t>バンゴウ</t>
    </rPh>
    <phoneticPr fontId="1"/>
  </si>
  <si>
    <t>貸室料金データ表</t>
    <rPh sb="0" eb="2">
      <t>カシシツ</t>
    </rPh>
    <rPh sb="1" eb="2">
      <t>シツ</t>
    </rPh>
    <rPh sb="2" eb="4">
      <t>リョウキン</t>
    </rPh>
    <rPh sb="7" eb="8">
      <t>ヒョウ</t>
    </rPh>
    <phoneticPr fontId="1"/>
  </si>
  <si>
    <t>貸室名</t>
    <rPh sb="0" eb="1">
      <t>タイ</t>
    </rPh>
    <rPh sb="1" eb="2">
      <t>シツ</t>
    </rPh>
    <rPh sb="2" eb="3">
      <t>メイ</t>
    </rPh>
    <phoneticPr fontId="1"/>
  </si>
  <si>
    <t>面積</t>
    <rPh sb="0" eb="2">
      <t>メンセキ</t>
    </rPh>
    <phoneticPr fontId="1"/>
  </si>
  <si>
    <t>基本料金</t>
    <rPh sb="0" eb="2">
      <t>キホン</t>
    </rPh>
    <rPh sb="2" eb="4">
      <t>リョウキン</t>
    </rPh>
    <phoneticPr fontId="1"/>
  </si>
  <si>
    <t>超過単価</t>
    <rPh sb="0" eb="2">
      <t>チョウカ</t>
    </rPh>
    <rPh sb="2" eb="4">
      <t>タンカ</t>
    </rPh>
    <phoneticPr fontId="1"/>
  </si>
  <si>
    <t>割引単価</t>
    <rPh sb="0" eb="2">
      <t>ワリビキ</t>
    </rPh>
    <rPh sb="2" eb="4">
      <t>タンカ</t>
    </rPh>
    <phoneticPr fontId="1"/>
  </si>
  <si>
    <t>和室A</t>
    <rPh sb="0" eb="2">
      <t>ワシツ</t>
    </rPh>
    <phoneticPr fontId="1"/>
  </si>
  <si>
    <t>和室B</t>
    <rPh sb="0" eb="2">
      <t>ワシツ</t>
    </rPh>
    <phoneticPr fontId="1"/>
  </si>
  <si>
    <t>洋室A</t>
    <rPh sb="0" eb="2">
      <t>ヨウシツ</t>
    </rPh>
    <phoneticPr fontId="1"/>
  </si>
  <si>
    <t>洋室B</t>
    <rPh sb="0" eb="2">
      <t>ヨウシツ</t>
    </rPh>
    <phoneticPr fontId="1"/>
  </si>
  <si>
    <t>請求額一覧表</t>
    <rPh sb="0" eb="2">
      <t>セイキュウ</t>
    </rPh>
    <rPh sb="2" eb="3">
      <t>ガク</t>
    </rPh>
    <rPh sb="3" eb="5">
      <t>イチラン</t>
    </rPh>
    <rPh sb="5" eb="6">
      <t>ヒョウ</t>
    </rPh>
    <phoneticPr fontId="1"/>
  </si>
  <si>
    <t>CO</t>
    <phoneticPr fontId="1"/>
  </si>
  <si>
    <t>会員名</t>
    <rPh sb="0" eb="2">
      <t>カイイン</t>
    </rPh>
    <rPh sb="2" eb="3">
      <t>メイ</t>
    </rPh>
    <phoneticPr fontId="1"/>
  </si>
  <si>
    <t>貸室名</t>
    <rPh sb="0" eb="3">
      <t>タイシツメイ</t>
    </rPh>
    <phoneticPr fontId="1"/>
  </si>
  <si>
    <t>時間</t>
    <rPh sb="0" eb="2">
      <t>ジカン</t>
    </rPh>
    <phoneticPr fontId="1"/>
  </si>
  <si>
    <t>超過料金</t>
    <rPh sb="0" eb="2">
      <t>チョウカ</t>
    </rPh>
    <rPh sb="2" eb="4">
      <t>リョウキン</t>
    </rPh>
    <phoneticPr fontId="1"/>
  </si>
  <si>
    <t>諸経費</t>
    <rPh sb="0" eb="3">
      <t>ショケイヒ</t>
    </rPh>
    <phoneticPr fontId="1"/>
  </si>
  <si>
    <t>割引額</t>
    <rPh sb="0" eb="3">
      <t>ワリビキガク</t>
    </rPh>
    <phoneticPr fontId="1"/>
  </si>
  <si>
    <t>請求額</t>
    <rPh sb="0" eb="2">
      <t>セイキュウ</t>
    </rPh>
    <rPh sb="2" eb="3">
      <t>ガク</t>
    </rPh>
    <phoneticPr fontId="1"/>
  </si>
  <si>
    <t>判定</t>
    <rPh sb="0" eb="2">
      <t>ハンテイ</t>
    </rPh>
    <phoneticPr fontId="1"/>
  </si>
  <si>
    <t>割引単価の計算式</t>
    <rPh sb="0" eb="2">
      <t>ワリビキ</t>
    </rPh>
    <rPh sb="2" eb="4">
      <t>タンカ</t>
    </rPh>
    <rPh sb="5" eb="8">
      <t>ケイサンシキ</t>
    </rPh>
    <phoneticPr fontId="1"/>
  </si>
  <si>
    <t>それ以外</t>
    <rPh sb="2" eb="4">
      <t>イガイ</t>
    </rPh>
    <phoneticPr fontId="1"/>
  </si>
  <si>
    <t>面積×3</t>
    <rPh sb="0" eb="2">
      <t>メンセキ</t>
    </rPh>
    <phoneticPr fontId="1"/>
  </si>
  <si>
    <t>面積×2</t>
    <rPh sb="0" eb="2">
      <t>メンセキ</t>
    </rPh>
    <phoneticPr fontId="1"/>
  </si>
  <si>
    <t>106以上</t>
    <rPh sb="3" eb="5">
      <t>イジョウ</t>
    </rPh>
    <phoneticPr fontId="1"/>
  </si>
  <si>
    <t>諸経費の計算式</t>
    <rPh sb="0" eb="3">
      <t>ショケイヒ</t>
    </rPh>
    <rPh sb="4" eb="7">
      <t>ケイサンシキ</t>
    </rPh>
    <phoneticPr fontId="1"/>
  </si>
  <si>
    <t>6以下</t>
    <rPh sb="1" eb="3">
      <t>イカ</t>
    </rPh>
    <phoneticPr fontId="1"/>
  </si>
  <si>
    <t>（基本料金＋超過料金）×2.9％</t>
    <rPh sb="1" eb="3">
      <t>キホン</t>
    </rPh>
    <rPh sb="3" eb="5">
      <t>リョウキン</t>
    </rPh>
    <rPh sb="6" eb="8">
      <t>チョウカ</t>
    </rPh>
    <rPh sb="8" eb="10">
      <t>リョウキン</t>
    </rPh>
    <phoneticPr fontId="1"/>
  </si>
  <si>
    <t>（基本料金＋超過料金）×2.6％</t>
    <rPh sb="1" eb="3">
      <t>キホン</t>
    </rPh>
    <rPh sb="3" eb="5">
      <t>リョウキン</t>
    </rPh>
    <rPh sb="6" eb="8">
      <t>チョウカ</t>
    </rPh>
    <rPh sb="8" eb="10">
      <t>リョウキン</t>
    </rPh>
    <phoneticPr fontId="1"/>
  </si>
  <si>
    <t>会員テーブル</t>
    <rPh sb="0" eb="2">
      <t>カイイン</t>
    </rPh>
    <phoneticPr fontId="1"/>
  </si>
  <si>
    <t>歴史研究会</t>
    <rPh sb="0" eb="2">
      <t>レキシ</t>
    </rPh>
    <rPh sb="2" eb="4">
      <t>ケンキュウ</t>
    </rPh>
    <rPh sb="4" eb="5">
      <t>カイ</t>
    </rPh>
    <phoneticPr fontId="1"/>
  </si>
  <si>
    <t>民謡クラブ</t>
    <rPh sb="0" eb="2">
      <t>ミンヨウ</t>
    </rPh>
    <phoneticPr fontId="1"/>
  </si>
  <si>
    <t>写真愛好会</t>
    <rPh sb="0" eb="2">
      <t>シャシン</t>
    </rPh>
    <rPh sb="2" eb="5">
      <t>アイコウカイ</t>
    </rPh>
    <phoneticPr fontId="1"/>
  </si>
  <si>
    <t>駅前商店会</t>
    <rPh sb="0" eb="2">
      <t>エキマエ</t>
    </rPh>
    <rPh sb="2" eb="5">
      <t>ショウテンカイ</t>
    </rPh>
    <phoneticPr fontId="1"/>
  </si>
  <si>
    <t>会員別集計表</t>
    <rPh sb="0" eb="2">
      <t>カイイン</t>
    </rPh>
    <rPh sb="2" eb="3">
      <t>ベツ</t>
    </rPh>
    <rPh sb="3" eb="5">
      <t>シュウケイ</t>
    </rPh>
    <rPh sb="5" eb="6">
      <t>ヒョウ</t>
    </rPh>
    <phoneticPr fontId="1"/>
  </si>
  <si>
    <t>合計</t>
    <rPh sb="0" eb="2">
      <t>ゴウケイ</t>
    </rPh>
    <phoneticPr fontId="1"/>
  </si>
  <si>
    <t>CO</t>
    <phoneticPr fontId="1"/>
  </si>
  <si>
    <t>別解答</t>
    <rPh sb="0" eb="1">
      <t>ベツ</t>
    </rPh>
    <rPh sb="1" eb="3">
      <t>カイトウ</t>
    </rPh>
    <phoneticPr fontId="1"/>
  </si>
  <si>
    <t>※DSUMを使っています</t>
    <rPh sb="6" eb="7">
      <t>ツカ</t>
    </rPh>
    <phoneticPr fontId="1"/>
  </si>
  <si>
    <t>※SUMIFを使っています</t>
    <rPh sb="7" eb="8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</si>
</sst>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left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0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会員別の比較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Sheet1!$B$26</c:f>
              <c:strCache>
                <c:ptCount val="1"/>
                <c:pt idx="0">
                  <c:v>基本料金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Sheet1!$A$27:$A$30</c:f>
              <c:strCache>
                <c:ptCount val="4"/>
                <c:pt idx="0">
                  <c:v>歴史研究会</c:v>
                </c:pt>
                <c:pt idx="1">
                  <c:v>民謡クラブ</c:v>
                </c:pt>
                <c:pt idx="2">
                  <c:v>写真愛好会</c:v>
                </c:pt>
                <c:pt idx="3">
                  <c:v>駅前商店会</c:v>
                </c:pt>
              </c:strCache>
            </c:strRef>
          </c:cat>
          <c:val>
            <c:numRef>
              <c:f>Sheet1!$B$27:$B$30</c:f>
              <c:numCache>
                <c:formatCode>#,##0_ </c:formatCode>
                <c:ptCount val="4"/>
                <c:pt idx="0">
                  <c:v>37130</c:v>
                </c:pt>
                <c:pt idx="1">
                  <c:v>42430</c:v>
                </c:pt>
                <c:pt idx="2">
                  <c:v>75480</c:v>
                </c:pt>
                <c:pt idx="3">
                  <c:v>70170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6-4F42-A214-D5D723F84756}"/>
            </c:ext>
          </c:extLst>
        </c:ser>
        <c:ser>
          <c:idx val="1"/>
          <c:order val="1"/>
          <c:tx>
            <c:strRef>
              <c:f>Sheet1!$C$26</c:f>
              <c:strCache>
                <c:ptCount val="1"/>
                <c:pt idx="0">
                  <c:v>超過料金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Sheet1!$A$27:$A$30</c:f>
              <c:strCache>
                <c:ptCount val="4"/>
                <c:pt idx="0">
                  <c:v>歴史研究会</c:v>
                </c:pt>
                <c:pt idx="1">
                  <c:v>民謡クラブ</c:v>
                </c:pt>
                <c:pt idx="2">
                  <c:v>写真愛好会</c:v>
                </c:pt>
                <c:pt idx="3">
                  <c:v>駅前商店会</c:v>
                </c:pt>
              </c:strCache>
            </c:strRef>
          </c:cat>
          <c:val>
            <c:numRef>
              <c:f>Sheet1!$C$27:$C$30</c:f>
              <c:numCache>
                <c:formatCode>#,##0_ </c:formatCode>
                <c:ptCount val="4"/>
                <c:pt idx="0">
                  <c:v>8617</c:v>
                </c:pt>
                <c:pt idx="1">
                  <c:v>10339</c:v>
                </c:pt>
                <c:pt idx="2">
                  <c:v>12285</c:v>
                </c:pt>
                <c:pt idx="3">
                  <c:v>17544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6-4F42-A214-D5D723F84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7774360"/>
        <c:axId val="707766488"/>
      </c:barChart>
      <c:catAx>
        <c:axId val="7077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766488"/>
        <c:crosses val="autoZero"/>
        <c:auto val="1"/>
        <c:lblAlgn val="ctr"/>
        <c:lblOffset val="100"/>
        <c:noMultiLvlLbl val="0"/>
      </c:catAx>
      <c:valAx>
        <c:axId val="70776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77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16</xdr:row>
      <xdr:rowOff>0</xdr:rowOff>
    </xdr:from>
    <xdr:to>
      <xdr:col>18</xdr:col>
      <xdr:colOff>655320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05292B-35E0-4E61-8C18-BBFE860C6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01A4-EE24-4686-B439-F75176D08F2F}">
  <dimension ref="A1:Q36"/>
  <sheetViews>
    <sheetView tabSelected="1" topLeftCell="A7" workbookViewId="0">
      <selection activeCell="D10" sqref="D10"/>
    </sheetView>
  </sheetViews>
  <sheetFormatPr defaultRowHeight="18" x14ac:dyDescent="0.45"/>
  <cols>
    <col min="1" max="2" width="10.3984375" style="2" bestFit="1" customWidth="1"/>
    <col min="3" max="7" width="8.59765625" style="2" bestFit="1" customWidth="1"/>
    <col min="8" max="8" width="6.796875" style="2" bestFit="1" customWidth="1"/>
    <col min="9" max="9" width="7.3984375" style="2" bestFit="1" customWidth="1"/>
    <col min="10" max="10" width="8.3984375" style="2" bestFit="1" customWidth="1"/>
    <col min="11" max="11" width="5" style="2" bestFit="1" customWidth="1"/>
    <col min="12" max="12" width="4.69921875" style="2" customWidth="1"/>
    <col min="13" max="14" width="8.59765625" style="2" bestFit="1" customWidth="1"/>
    <col min="15" max="16" width="4.8984375" style="2" bestFit="1" customWidth="1"/>
    <col min="17" max="17" width="10.3984375" style="2" bestFit="1" customWidth="1"/>
    <col min="18" max="16384" width="8.796875" style="2"/>
  </cols>
  <sheetData>
    <row r="1" spans="1:17" ht="18.600000000000001" thickBot="1" x14ac:dyDescent="0.5">
      <c r="A1" s="5" t="s">
        <v>1</v>
      </c>
      <c r="B1" s="5"/>
      <c r="C1" s="5"/>
      <c r="D1" s="5"/>
      <c r="E1" s="5"/>
      <c r="F1" s="5"/>
    </row>
    <row r="2" spans="1:17" x14ac:dyDescent="0.45">
      <c r="A2" s="11" t="s">
        <v>0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M2" s="6" t="s">
        <v>21</v>
      </c>
      <c r="N2" s="7"/>
      <c r="P2" s="4" t="s">
        <v>30</v>
      </c>
      <c r="Q2" s="4"/>
    </row>
    <row r="3" spans="1:17" x14ac:dyDescent="0.45">
      <c r="A3" s="14">
        <v>11</v>
      </c>
      <c r="B3" s="1" t="s">
        <v>7</v>
      </c>
      <c r="C3" s="1">
        <v>52</v>
      </c>
      <c r="D3" s="1">
        <f>ROUND(34*C3*6,-1)</f>
        <v>10610</v>
      </c>
      <c r="E3" s="1">
        <f>ROUNDDOWN(D3/6*0.65,0)</f>
        <v>1149</v>
      </c>
      <c r="F3" s="15">
        <f>IF(C3&gt;=106,C3*3,C3*2)</f>
        <v>104</v>
      </c>
      <c r="M3" s="3" t="s">
        <v>3</v>
      </c>
      <c r="N3" s="3" t="s">
        <v>6</v>
      </c>
      <c r="P3" s="3" t="s">
        <v>12</v>
      </c>
      <c r="Q3" s="3" t="s">
        <v>13</v>
      </c>
    </row>
    <row r="4" spans="1:17" x14ac:dyDescent="0.45">
      <c r="A4" s="14">
        <v>12</v>
      </c>
      <c r="B4" s="1" t="s">
        <v>8</v>
      </c>
      <c r="C4" s="1">
        <v>78</v>
      </c>
      <c r="D4" s="1">
        <f t="shared" ref="D4:D6" si="0">ROUND(34*C4*6,-1)</f>
        <v>15910</v>
      </c>
      <c r="E4" s="1">
        <f t="shared" ref="E4:E6" si="1">ROUNDDOWN(D4/6*0.65,0)</f>
        <v>1723</v>
      </c>
      <c r="F4" s="15">
        <f t="shared" ref="F4:F6" si="2">IF(C4&gt;=106,C4*3,C4*2)</f>
        <v>156</v>
      </c>
      <c r="M4" s="1" t="s">
        <v>25</v>
      </c>
      <c r="N4" s="1" t="s">
        <v>23</v>
      </c>
      <c r="P4" s="1">
        <v>101</v>
      </c>
      <c r="Q4" s="1" t="s">
        <v>31</v>
      </c>
    </row>
    <row r="5" spans="1:17" x14ac:dyDescent="0.45">
      <c r="A5" s="14">
        <v>21</v>
      </c>
      <c r="B5" s="1" t="s">
        <v>9</v>
      </c>
      <c r="C5" s="1">
        <v>106</v>
      </c>
      <c r="D5" s="1">
        <f t="shared" si="0"/>
        <v>21620</v>
      </c>
      <c r="E5" s="1">
        <f t="shared" si="1"/>
        <v>2342</v>
      </c>
      <c r="F5" s="15">
        <f t="shared" si="2"/>
        <v>318</v>
      </c>
      <c r="M5" s="1" t="s">
        <v>22</v>
      </c>
      <c r="N5" s="1" t="s">
        <v>24</v>
      </c>
      <c r="P5" s="1">
        <v>102</v>
      </c>
      <c r="Q5" s="1" t="s">
        <v>32</v>
      </c>
    </row>
    <row r="6" spans="1:17" ht="18.600000000000001" thickBot="1" x14ac:dyDescent="0.5">
      <c r="A6" s="16">
        <v>22</v>
      </c>
      <c r="B6" s="17" t="s">
        <v>10</v>
      </c>
      <c r="C6" s="17">
        <v>132</v>
      </c>
      <c r="D6" s="17">
        <f t="shared" si="0"/>
        <v>26930</v>
      </c>
      <c r="E6" s="17">
        <f t="shared" si="1"/>
        <v>2917</v>
      </c>
      <c r="F6" s="18">
        <f t="shared" si="2"/>
        <v>396</v>
      </c>
      <c r="P6" s="1">
        <v>103</v>
      </c>
      <c r="Q6" s="1" t="s">
        <v>33</v>
      </c>
    </row>
    <row r="7" spans="1:17" x14ac:dyDescent="0.45">
      <c r="A7" s="24"/>
      <c r="B7" s="24"/>
      <c r="C7" s="24"/>
      <c r="D7" s="24"/>
      <c r="E7" s="24"/>
      <c r="F7" s="24"/>
      <c r="P7" s="1">
        <v>104</v>
      </c>
      <c r="Q7" s="1" t="s">
        <v>34</v>
      </c>
    </row>
    <row r="8" spans="1:17" ht="18.600000000000001" thickBot="1" x14ac:dyDescent="0.5">
      <c r="A8" s="5" t="s">
        <v>11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7" x14ac:dyDescent="0.45">
      <c r="A9" s="11" t="s">
        <v>12</v>
      </c>
      <c r="B9" s="12" t="s">
        <v>13</v>
      </c>
      <c r="C9" s="12" t="s">
        <v>0</v>
      </c>
      <c r="D9" s="12" t="s">
        <v>14</v>
      </c>
      <c r="E9" s="12" t="s">
        <v>15</v>
      </c>
      <c r="F9" s="12" t="s">
        <v>4</v>
      </c>
      <c r="G9" s="12" t="s">
        <v>16</v>
      </c>
      <c r="H9" s="12" t="s">
        <v>17</v>
      </c>
      <c r="I9" s="12" t="s">
        <v>18</v>
      </c>
      <c r="J9" s="12" t="s">
        <v>19</v>
      </c>
      <c r="K9" s="13" t="s">
        <v>20</v>
      </c>
      <c r="M9" s="4" t="s">
        <v>26</v>
      </c>
      <c r="N9" s="8"/>
      <c r="O9" s="8"/>
      <c r="P9" s="8"/>
    </row>
    <row r="10" spans="1:17" x14ac:dyDescent="0.45">
      <c r="A10" s="14">
        <v>101</v>
      </c>
      <c r="B10" s="1" t="str">
        <f>VLOOKUP(A10,$P$4:$Q$7,2,0)</f>
        <v>歴史研究会</v>
      </c>
      <c r="C10" s="1">
        <v>11</v>
      </c>
      <c r="D10" s="1" t="str">
        <f>VLOOKUP(C10,$A$3:$B$6,2,0)</f>
        <v>和室A</v>
      </c>
      <c r="E10" s="1">
        <v>8</v>
      </c>
      <c r="F10" s="1">
        <f>VLOOKUP(C10,$A$3:$D$6,4,0)</f>
        <v>10610</v>
      </c>
      <c r="G10" s="1">
        <f>VLOOKUP(C10,$A$3:$E$6,5,0)*(E10-6)</f>
        <v>2298</v>
      </c>
      <c r="H10" s="1">
        <f>ROUNDDOWN(IF(E10&lt;=6,(F10+G10)*0.029,(F10+G10)*0.026),0)</f>
        <v>335</v>
      </c>
      <c r="I10" s="1">
        <f>VLOOKUP(C10,$A$3:$F$6,6,0)*E10</f>
        <v>832</v>
      </c>
      <c r="J10" s="1">
        <f>F10+G10+H10-I10</f>
        <v>12411</v>
      </c>
      <c r="K10" s="19" t="str">
        <f>IF(OR(E10&gt;=10,J10&gt;=27000),"#","")</f>
        <v/>
      </c>
      <c r="M10" s="3" t="s">
        <v>15</v>
      </c>
      <c r="N10" s="9" t="s">
        <v>17</v>
      </c>
      <c r="O10" s="9"/>
      <c r="P10" s="9"/>
      <c r="Q10" s="9"/>
    </row>
    <row r="11" spans="1:17" x14ac:dyDescent="0.45">
      <c r="A11" s="14">
        <v>102</v>
      </c>
      <c r="B11" s="1" t="str">
        <f>VLOOKUP(A11,$P$4:$Q$7,2,0)</f>
        <v>民謡クラブ</v>
      </c>
      <c r="C11" s="1">
        <v>11</v>
      </c>
      <c r="D11" s="1" t="str">
        <f>VLOOKUP(C11,$A$3:$B$6,2,0)</f>
        <v>和室A</v>
      </c>
      <c r="E11" s="1">
        <v>9</v>
      </c>
      <c r="F11" s="1">
        <f>VLOOKUP(C11,$A$3:$D$6,4,0)</f>
        <v>10610</v>
      </c>
      <c r="G11" s="1">
        <f>VLOOKUP(C11,$A$3:$E$6,5,0)*(E11-6)</f>
        <v>3447</v>
      </c>
      <c r="H11" s="1">
        <f>ROUNDDOWN(IF(E11&lt;=6,(F11+G11)*0.029,(F11+G11)*0.026),0)</f>
        <v>365</v>
      </c>
      <c r="I11" s="1">
        <f>VLOOKUP(C11,$A$3:$F$6,6,0)*E11</f>
        <v>936</v>
      </c>
      <c r="J11" s="1">
        <f>F11+G11+H11-I11</f>
        <v>13486</v>
      </c>
      <c r="K11" s="19" t="str">
        <f>IF(OR(E11&gt;=10,J11&gt;=27000),"#","")</f>
        <v/>
      </c>
      <c r="M11" s="1" t="s">
        <v>27</v>
      </c>
      <c r="N11" s="10" t="s">
        <v>28</v>
      </c>
      <c r="O11" s="10"/>
      <c r="P11" s="10"/>
      <c r="Q11" s="10"/>
    </row>
    <row r="12" spans="1:17" x14ac:dyDescent="0.45">
      <c r="A12" s="14">
        <v>101</v>
      </c>
      <c r="B12" s="1" t="str">
        <f>VLOOKUP(A12,$P$4:$Q$7,2,0)</f>
        <v>歴史研究会</v>
      </c>
      <c r="C12" s="1">
        <v>11</v>
      </c>
      <c r="D12" s="1" t="str">
        <f>VLOOKUP(C12,$A$3:$B$6,2,0)</f>
        <v>和室A</v>
      </c>
      <c r="E12" s="1">
        <v>10</v>
      </c>
      <c r="F12" s="1">
        <f>VLOOKUP(C12,$A$3:$D$6,4,0)</f>
        <v>10610</v>
      </c>
      <c r="G12" s="1">
        <f>VLOOKUP(C12,$A$3:$E$6,5,0)*(E12-6)</f>
        <v>4596</v>
      </c>
      <c r="H12" s="1">
        <f>ROUNDDOWN(IF(E12&lt;=6,(F12+G12)*0.029,(F12+G12)*0.026),0)</f>
        <v>395</v>
      </c>
      <c r="I12" s="1">
        <f>VLOOKUP(C12,$A$3:$F$6,6,0)*E12</f>
        <v>1040</v>
      </c>
      <c r="J12" s="1">
        <f>F12+G12+H12-I12</f>
        <v>14561</v>
      </c>
      <c r="K12" s="19" t="str">
        <f>IF(OR(E12&gt;=10,J12&gt;=27000),"#","")</f>
        <v>#</v>
      </c>
      <c r="M12" s="1" t="s">
        <v>22</v>
      </c>
      <c r="N12" s="10" t="s">
        <v>29</v>
      </c>
      <c r="O12" s="10"/>
      <c r="P12" s="10"/>
      <c r="Q12" s="10"/>
    </row>
    <row r="13" spans="1:17" x14ac:dyDescent="0.45">
      <c r="A13" s="14">
        <v>102</v>
      </c>
      <c r="B13" s="1" t="str">
        <f>VLOOKUP(A13,$P$4:$Q$7,2,0)</f>
        <v>民謡クラブ</v>
      </c>
      <c r="C13" s="1">
        <v>12</v>
      </c>
      <c r="D13" s="1" t="str">
        <f>VLOOKUP(C13,$A$3:$B$6,2,0)</f>
        <v>和室B</v>
      </c>
      <c r="E13" s="1">
        <v>6</v>
      </c>
      <c r="F13" s="1">
        <f>VLOOKUP(C13,$A$3:$D$6,4,0)</f>
        <v>15910</v>
      </c>
      <c r="G13" s="1">
        <f>VLOOKUP(C13,$A$3:$E$6,5,0)*(E13-6)</f>
        <v>0</v>
      </c>
      <c r="H13" s="1">
        <f>ROUNDDOWN(IF(E13&lt;=6,(F13+G13)*0.029,(F13+G13)*0.026),0)</f>
        <v>461</v>
      </c>
      <c r="I13" s="1">
        <f>VLOOKUP(C13,$A$3:$F$6,6,0)*E13</f>
        <v>936</v>
      </c>
      <c r="J13" s="1">
        <f>F13+G13+H13-I13</f>
        <v>15435</v>
      </c>
      <c r="K13" s="19" t="str">
        <f>IF(OR(E13&gt;=10,J13&gt;=27000),"#","")</f>
        <v/>
      </c>
    </row>
    <row r="14" spans="1:17" x14ac:dyDescent="0.45">
      <c r="A14" s="14">
        <v>101</v>
      </c>
      <c r="B14" s="1" t="str">
        <f>VLOOKUP(A14,$P$4:$Q$7,2,0)</f>
        <v>歴史研究会</v>
      </c>
      <c r="C14" s="1">
        <v>12</v>
      </c>
      <c r="D14" s="1" t="str">
        <f>VLOOKUP(C14,$A$3:$B$6,2,0)</f>
        <v>和室B</v>
      </c>
      <c r="E14" s="1">
        <v>7</v>
      </c>
      <c r="F14" s="1">
        <f>VLOOKUP(C14,$A$3:$D$6,4,0)</f>
        <v>15910</v>
      </c>
      <c r="G14" s="1">
        <f>VLOOKUP(C14,$A$3:$E$6,5,0)*(E14-6)</f>
        <v>1723</v>
      </c>
      <c r="H14" s="1">
        <f>ROUNDDOWN(IF(E14&lt;=6,(F14+G14)*0.029,(F14+G14)*0.026),0)</f>
        <v>458</v>
      </c>
      <c r="I14" s="1">
        <f>VLOOKUP(C14,$A$3:$F$6,6,0)*E14</f>
        <v>1092</v>
      </c>
      <c r="J14" s="1">
        <f>F14+G14+H14-I14</f>
        <v>16999</v>
      </c>
      <c r="K14" s="19" t="str">
        <f>IF(OR(E14&gt;=10,J14&gt;=27000),"#","")</f>
        <v/>
      </c>
      <c r="M14" s="23" t="s">
        <v>37</v>
      </c>
      <c r="N14" s="23" t="s">
        <v>37</v>
      </c>
      <c r="O14" s="23" t="s">
        <v>37</v>
      </c>
      <c r="P14" s="23" t="s">
        <v>37</v>
      </c>
    </row>
    <row r="15" spans="1:17" x14ac:dyDescent="0.45">
      <c r="A15" s="14">
        <v>102</v>
      </c>
      <c r="B15" s="1" t="str">
        <f>VLOOKUP(A15,$P$4:$Q$7,2,0)</f>
        <v>民謡クラブ</v>
      </c>
      <c r="C15" s="1">
        <v>12</v>
      </c>
      <c r="D15" s="1" t="str">
        <f>VLOOKUP(C15,$A$3:$B$6,2,0)</f>
        <v>和室B</v>
      </c>
      <c r="E15" s="1">
        <v>10</v>
      </c>
      <c r="F15" s="1">
        <f>VLOOKUP(C15,$A$3:$D$6,4,0)</f>
        <v>15910</v>
      </c>
      <c r="G15" s="1">
        <f>VLOOKUP(C15,$A$3:$E$6,5,0)*(E15-6)</f>
        <v>6892</v>
      </c>
      <c r="H15" s="1">
        <f>ROUNDDOWN(IF(E15&lt;=6,(F15+G15)*0.029,(F15+G15)*0.026),0)</f>
        <v>592</v>
      </c>
      <c r="I15" s="1">
        <f>VLOOKUP(C15,$A$3:$F$6,6,0)*E15</f>
        <v>1560</v>
      </c>
      <c r="J15" s="1">
        <f>F15+G15+H15-I15</f>
        <v>21834</v>
      </c>
      <c r="K15" s="19" t="str">
        <f>IF(OR(E15&gt;=10,J15&gt;=27000),"#","")</f>
        <v>#</v>
      </c>
      <c r="M15" s="23">
        <v>101</v>
      </c>
      <c r="N15" s="23">
        <v>102</v>
      </c>
      <c r="O15" s="23">
        <v>103</v>
      </c>
      <c r="P15" s="23">
        <v>104</v>
      </c>
    </row>
    <row r="16" spans="1:17" x14ac:dyDescent="0.45">
      <c r="A16" s="14">
        <v>104</v>
      </c>
      <c r="B16" s="1" t="str">
        <f>VLOOKUP(A16,$P$4:$Q$7,2,0)</f>
        <v>駅前商店会</v>
      </c>
      <c r="C16" s="1">
        <v>21</v>
      </c>
      <c r="D16" s="1" t="str">
        <f>VLOOKUP(C16,$A$3:$B$6,2,0)</f>
        <v>洋室A</v>
      </c>
      <c r="E16" s="1">
        <v>8</v>
      </c>
      <c r="F16" s="1">
        <f>VLOOKUP(C16,$A$3:$D$6,4,0)</f>
        <v>21620</v>
      </c>
      <c r="G16" s="1">
        <f>VLOOKUP(C16,$A$3:$E$6,5,0)*(E16-6)</f>
        <v>4684</v>
      </c>
      <c r="H16" s="1">
        <f>ROUNDDOWN(IF(E16&lt;=6,(F16+G16)*0.029,(F16+G16)*0.026),0)</f>
        <v>683</v>
      </c>
      <c r="I16" s="1">
        <f>VLOOKUP(C16,$A$3:$F$6,6,0)*E16</f>
        <v>2544</v>
      </c>
      <c r="J16" s="1">
        <f>F16+G16+H16-I16</f>
        <v>24443</v>
      </c>
      <c r="K16" s="19" t="str">
        <f>IF(OR(E16&gt;=10,J16&gt;=27000),"#","")</f>
        <v/>
      </c>
    </row>
    <row r="17" spans="1:11" x14ac:dyDescent="0.45">
      <c r="A17" s="14">
        <v>103</v>
      </c>
      <c r="B17" s="1" t="str">
        <f>VLOOKUP(A17,$P$4:$Q$7,2,0)</f>
        <v>写真愛好会</v>
      </c>
      <c r="C17" s="1">
        <v>22</v>
      </c>
      <c r="D17" s="1" t="str">
        <f>VLOOKUP(C17,$A$3:$B$6,2,0)</f>
        <v>洋室B</v>
      </c>
      <c r="E17" s="1">
        <v>6</v>
      </c>
      <c r="F17" s="1">
        <f>VLOOKUP(C17,$A$3:$D$6,4,0)</f>
        <v>26930</v>
      </c>
      <c r="G17" s="1">
        <f>VLOOKUP(C17,$A$3:$E$6,5,0)*(E17-6)</f>
        <v>0</v>
      </c>
      <c r="H17" s="1">
        <f>ROUNDDOWN(IF(E17&lt;=6,(F17+G17)*0.029,(F17+G17)*0.026),0)</f>
        <v>780</v>
      </c>
      <c r="I17" s="1">
        <f>VLOOKUP(C17,$A$3:$F$6,6,0)*E17</f>
        <v>2376</v>
      </c>
      <c r="J17" s="1">
        <f>F17+G17+H17-I17</f>
        <v>25334</v>
      </c>
      <c r="K17" s="19" t="str">
        <f>IF(OR(E17&gt;=10,J17&gt;=27000),"#","")</f>
        <v/>
      </c>
    </row>
    <row r="18" spans="1:11" x14ac:dyDescent="0.45">
      <c r="A18" s="14">
        <v>104</v>
      </c>
      <c r="B18" s="1" t="str">
        <f>VLOOKUP(A18,$P$4:$Q$7,2,0)</f>
        <v>駅前商店会</v>
      </c>
      <c r="C18" s="1">
        <v>21</v>
      </c>
      <c r="D18" s="1" t="str">
        <f>VLOOKUP(C18,$A$3:$B$6,2,0)</f>
        <v>洋室A</v>
      </c>
      <c r="E18" s="1">
        <v>9</v>
      </c>
      <c r="F18" s="1">
        <f>VLOOKUP(C18,$A$3:$D$6,4,0)</f>
        <v>21620</v>
      </c>
      <c r="G18" s="1">
        <f>VLOOKUP(C18,$A$3:$E$6,5,0)*(E18-6)</f>
        <v>7026</v>
      </c>
      <c r="H18" s="1">
        <f>ROUNDDOWN(IF(E18&lt;=6,(F18+G18)*0.029,(F18+G18)*0.026),0)</f>
        <v>744</v>
      </c>
      <c r="I18" s="1">
        <f>VLOOKUP(C18,$A$3:$F$6,6,0)*E18</f>
        <v>2862</v>
      </c>
      <c r="J18" s="1">
        <f>F18+G18+H18-I18</f>
        <v>26528</v>
      </c>
      <c r="K18" s="19" t="str">
        <f>IF(OR(E18&gt;=10,J18&gt;=27000),"#","")</f>
        <v/>
      </c>
    </row>
    <row r="19" spans="1:11" x14ac:dyDescent="0.45">
      <c r="A19" s="14">
        <v>103</v>
      </c>
      <c r="B19" s="1" t="str">
        <f>VLOOKUP(A19,$P$4:$Q$7,2,0)</f>
        <v>写真愛好会</v>
      </c>
      <c r="C19" s="1">
        <v>22</v>
      </c>
      <c r="D19" s="1" t="str">
        <f>VLOOKUP(C19,$A$3:$B$6,2,0)</f>
        <v>洋室B</v>
      </c>
      <c r="E19" s="1">
        <v>7</v>
      </c>
      <c r="F19" s="1">
        <f>VLOOKUP(C19,$A$3:$D$6,4,0)</f>
        <v>26930</v>
      </c>
      <c r="G19" s="1">
        <f>VLOOKUP(C19,$A$3:$E$6,5,0)*(E19-6)</f>
        <v>2917</v>
      </c>
      <c r="H19" s="1">
        <f>ROUNDDOWN(IF(E19&lt;=6,(F19+G19)*0.029,(F19+G19)*0.026),0)</f>
        <v>776</v>
      </c>
      <c r="I19" s="1">
        <f>VLOOKUP(C19,$A$3:$F$6,6,0)*E19</f>
        <v>2772</v>
      </c>
      <c r="J19" s="1">
        <f>F19+G19+H19-I19</f>
        <v>27851</v>
      </c>
      <c r="K19" s="19" t="str">
        <f>IF(OR(E19&gt;=10,J19&gt;=27000),"#","")</f>
        <v>#</v>
      </c>
    </row>
    <row r="20" spans="1:11" x14ac:dyDescent="0.45">
      <c r="A20" s="14">
        <v>103</v>
      </c>
      <c r="B20" s="1" t="str">
        <f>VLOOKUP(A20,$P$4:$Q$7,2,0)</f>
        <v>写真愛好会</v>
      </c>
      <c r="C20" s="1">
        <v>21</v>
      </c>
      <c r="D20" s="1" t="str">
        <f>VLOOKUP(C20,$A$3:$B$6,2,0)</f>
        <v>洋室A</v>
      </c>
      <c r="E20" s="1">
        <v>10</v>
      </c>
      <c r="F20" s="1">
        <f>VLOOKUP(C20,$A$3:$D$6,4,0)</f>
        <v>21620</v>
      </c>
      <c r="G20" s="1">
        <f>VLOOKUP(C20,$A$3:$E$6,5,0)*(E20-6)</f>
        <v>9368</v>
      </c>
      <c r="H20" s="1">
        <f>ROUNDDOWN(IF(E20&lt;=6,(F20+G20)*0.029,(F20+G20)*0.026),0)</f>
        <v>805</v>
      </c>
      <c r="I20" s="1">
        <f>VLOOKUP(C20,$A$3:$F$6,6,0)*E20</f>
        <v>3180</v>
      </c>
      <c r="J20" s="1">
        <f>F20+G20+H20-I20</f>
        <v>28613</v>
      </c>
      <c r="K20" s="19" t="str">
        <f>IF(OR(E20&gt;=10,J20&gt;=27000),"#","")</f>
        <v>#</v>
      </c>
    </row>
    <row r="21" spans="1:11" x14ac:dyDescent="0.45">
      <c r="A21" s="14">
        <v>104</v>
      </c>
      <c r="B21" s="1" t="str">
        <f>VLOOKUP(A21,$P$4:$Q$7,2,0)</f>
        <v>駅前商店会</v>
      </c>
      <c r="C21" s="1">
        <v>22</v>
      </c>
      <c r="D21" s="1" t="str">
        <f>VLOOKUP(C21,$A$3:$B$6,2,0)</f>
        <v>洋室B</v>
      </c>
      <c r="E21" s="1">
        <v>8</v>
      </c>
      <c r="F21" s="1">
        <f>VLOOKUP(C21,$A$3:$D$6,4,0)</f>
        <v>26930</v>
      </c>
      <c r="G21" s="1">
        <f>VLOOKUP(C21,$A$3:$E$6,5,0)*(E21-6)</f>
        <v>5834</v>
      </c>
      <c r="H21" s="1">
        <f>ROUNDDOWN(IF(E21&lt;=6,(F21+G21)*0.029,(F21+G21)*0.026),0)</f>
        <v>851</v>
      </c>
      <c r="I21" s="1">
        <f>VLOOKUP(C21,$A$3:$F$6,6,0)*E21</f>
        <v>3168</v>
      </c>
      <c r="J21" s="1">
        <f>F21+G21+H21-I21</f>
        <v>30447</v>
      </c>
      <c r="K21" s="19" t="str">
        <f>IF(OR(E21&gt;=10,J21&gt;=27000),"#","")</f>
        <v>#</v>
      </c>
    </row>
    <row r="22" spans="1:11" x14ac:dyDescent="0.45">
      <c r="A22" s="14"/>
      <c r="B22" s="1"/>
      <c r="C22" s="1"/>
      <c r="D22" s="1"/>
      <c r="E22" s="1"/>
      <c r="F22" s="1"/>
      <c r="G22" s="1"/>
      <c r="H22" s="1"/>
      <c r="I22" s="1"/>
      <c r="J22" s="1"/>
      <c r="K22" s="19"/>
    </row>
    <row r="23" spans="1:11" ht="18.600000000000001" thickBot="1" x14ac:dyDescent="0.5">
      <c r="A23" s="20"/>
      <c r="B23" s="21" t="s">
        <v>36</v>
      </c>
      <c r="C23" s="21"/>
      <c r="D23" s="21"/>
      <c r="E23" s="21">
        <f>SUM(E10:E21)</f>
        <v>98</v>
      </c>
      <c r="F23" s="21">
        <f t="shared" ref="F23:J23" si="3">SUM(F10:F21)</f>
        <v>225210</v>
      </c>
      <c r="G23" s="21">
        <f t="shared" si="3"/>
        <v>48785</v>
      </c>
      <c r="H23" s="21">
        <f t="shared" si="3"/>
        <v>7245</v>
      </c>
      <c r="I23" s="21">
        <f t="shared" si="3"/>
        <v>23298</v>
      </c>
      <c r="J23" s="21">
        <f t="shared" si="3"/>
        <v>257942</v>
      </c>
      <c r="K23" s="22"/>
    </row>
    <row r="25" spans="1:11" ht="18.600000000000001" thickBot="1" x14ac:dyDescent="0.5">
      <c r="A25" s="5" t="s">
        <v>35</v>
      </c>
      <c r="B25" s="5"/>
      <c r="C25" s="5"/>
    </row>
    <row r="26" spans="1:11" x14ac:dyDescent="0.45">
      <c r="A26" s="11" t="s">
        <v>13</v>
      </c>
      <c r="B26" s="12" t="s">
        <v>4</v>
      </c>
      <c r="C26" s="13" t="s">
        <v>16</v>
      </c>
    </row>
    <row r="27" spans="1:11" x14ac:dyDescent="0.45">
      <c r="A27" s="14" t="s">
        <v>31</v>
      </c>
      <c r="B27" s="1">
        <f>DSUM($A$9:$K$21,$F$9,M14:M15)</f>
        <v>37130</v>
      </c>
      <c r="C27" s="15">
        <f>DSUM($A$9:$K$21,$G$9,$M$14:$M$15)</f>
        <v>8617</v>
      </c>
      <c r="D27" s="25" t="s">
        <v>39</v>
      </c>
    </row>
    <row r="28" spans="1:11" x14ac:dyDescent="0.45">
      <c r="A28" s="14" t="s">
        <v>32</v>
      </c>
      <c r="B28" s="1">
        <f>DSUM($A$9:$K$21,$F$9,$N$14:$N$15)</f>
        <v>42430</v>
      </c>
      <c r="C28" s="15">
        <f>DSUM($A$9:$K$21,$G$9,$N$14:$N$15)</f>
        <v>10339</v>
      </c>
    </row>
    <row r="29" spans="1:11" x14ac:dyDescent="0.45">
      <c r="A29" s="14" t="s">
        <v>33</v>
      </c>
      <c r="B29" s="1">
        <f>DSUM($A$9:$K$21,$F$9,$O$14:$O$15)</f>
        <v>75480</v>
      </c>
      <c r="C29" s="15">
        <f>DSUM($A$9:$K$21,$G$9,$O$14:$O$15)</f>
        <v>12285</v>
      </c>
    </row>
    <row r="30" spans="1:11" ht="18.600000000000001" thickBot="1" x14ac:dyDescent="0.5">
      <c r="A30" s="16" t="s">
        <v>34</v>
      </c>
      <c r="B30" s="17">
        <f>DSUM($A$9:$K$21,$F$9,$P$14:$P$15)</f>
        <v>70170</v>
      </c>
      <c r="C30" s="18">
        <f>DSUM($A$9:$K$21,$G$9,$P$14:$P$15)</f>
        <v>17544</v>
      </c>
    </row>
    <row r="31" spans="1:11" ht="18.600000000000001" thickBot="1" x14ac:dyDescent="0.5">
      <c r="A31" s="2" t="s">
        <v>38</v>
      </c>
    </row>
    <row r="32" spans="1:11" x14ac:dyDescent="0.45">
      <c r="A32" s="11" t="s">
        <v>13</v>
      </c>
      <c r="B32" s="12" t="s">
        <v>4</v>
      </c>
      <c r="C32" s="13" t="s">
        <v>16</v>
      </c>
    </row>
    <row r="33" spans="1:4" x14ac:dyDescent="0.45">
      <c r="A33" s="14" t="s">
        <v>31</v>
      </c>
      <c r="B33" s="1">
        <f>SUMIF($B$10:$B$21,$A33,$F$10:$F$21)</f>
        <v>37130</v>
      </c>
      <c r="C33" s="15">
        <f>SUMIF($B$10:$B$21,$A33,$G$10:$G$21)</f>
        <v>8617</v>
      </c>
      <c r="D33" s="25" t="s">
        <v>40</v>
      </c>
    </row>
    <row r="34" spans="1:4" x14ac:dyDescent="0.45">
      <c r="A34" s="14" t="s">
        <v>32</v>
      </c>
      <c r="B34" s="1">
        <f t="shared" ref="B34:B36" si="4">SUMIF($B$10:$B$21,$A34,$F$10:$F$21)</f>
        <v>42430</v>
      </c>
      <c r="C34" s="15">
        <f t="shared" ref="C34:C36" si="5">SUMIF($B$10:$B$21,$A34,$G$10:$G$21)</f>
        <v>10339</v>
      </c>
    </row>
    <row r="35" spans="1:4" x14ac:dyDescent="0.45">
      <c r="A35" s="14" t="s">
        <v>33</v>
      </c>
      <c r="B35" s="1">
        <f t="shared" si="4"/>
        <v>75480</v>
      </c>
      <c r="C35" s="15">
        <f t="shared" si="5"/>
        <v>12285</v>
      </c>
    </row>
    <row r="36" spans="1:4" ht="18.600000000000001" thickBot="1" x14ac:dyDescent="0.5">
      <c r="A36" s="16" t="s">
        <v>34</v>
      </c>
      <c r="B36" s="17">
        <f t="shared" si="4"/>
        <v>70170</v>
      </c>
      <c r="C36" s="18">
        <f t="shared" si="5"/>
        <v>17544</v>
      </c>
    </row>
  </sheetData>
  <sortState xmlns:xlrd2="http://schemas.microsoft.com/office/spreadsheetml/2017/richdata2" ref="A10:K21">
    <sortCondition ref="J10:J21"/>
  </sortState>
  <mergeCells count="9">
    <mergeCell ref="A1:F1"/>
    <mergeCell ref="A8:K8"/>
    <mergeCell ref="M2:N2"/>
    <mergeCell ref="N10:Q10"/>
    <mergeCell ref="N11:Q11"/>
    <mergeCell ref="A25:C25"/>
    <mergeCell ref="P2:Q2"/>
    <mergeCell ref="M9:P9"/>
    <mergeCell ref="N12:Q1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2020-02-27T22:50:34Z</dcterms:created>
  <dcterms:modified xsi:type="dcterms:W3CDTF">2020-05-04T03:10:39Z</dcterms:modified>
</cp:coreProperties>
</file>