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4EA975E3-3921-42DB-A225-B8960A8A8594}" xr6:coauthVersionLast="45" xr6:coauthVersionMax="45" xr10:uidLastSave="{00000000-0000-0000-0000-000000000000}"/>
  <bookViews>
    <workbookView xWindow="-108" yWindow="-108" windowWidth="23256" windowHeight="12576" xr2:uid="{21955B82-C02D-4E2E-A27D-76CF564125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D40" i="1"/>
  <c r="D41" i="1"/>
  <c r="D42" i="1"/>
  <c r="D39" i="1"/>
  <c r="C40" i="1"/>
  <c r="C41" i="1"/>
  <c r="C42" i="1"/>
  <c r="C39" i="1"/>
  <c r="B40" i="1"/>
  <c r="B41" i="1"/>
  <c r="B42" i="1"/>
  <c r="B39" i="1"/>
  <c r="K34" i="1"/>
  <c r="K33" i="1"/>
  <c r="K32" i="1"/>
  <c r="D36" i="1"/>
  <c r="D35" i="1"/>
  <c r="D34" i="1"/>
  <c r="D33" i="1"/>
  <c r="C36" i="1"/>
  <c r="C35" i="1"/>
  <c r="C34" i="1"/>
  <c r="C33" i="1"/>
  <c r="B36" i="1"/>
  <c r="B35" i="1"/>
  <c r="B34" i="1"/>
  <c r="B33" i="1"/>
  <c r="B24" i="1" l="1"/>
  <c r="D24" i="1"/>
  <c r="F24" i="1"/>
  <c r="G24" i="1" s="1"/>
  <c r="B25" i="1"/>
  <c r="D25" i="1"/>
  <c r="F25" i="1"/>
  <c r="G25" i="1" s="1"/>
  <c r="B26" i="1"/>
  <c r="D26" i="1"/>
  <c r="F26" i="1"/>
  <c r="G26" i="1" s="1"/>
  <c r="B27" i="1"/>
  <c r="D27" i="1"/>
  <c r="F27" i="1"/>
  <c r="G27" i="1" s="1"/>
  <c r="B28" i="1"/>
  <c r="D28" i="1"/>
  <c r="F28" i="1"/>
  <c r="G28" i="1" s="1"/>
  <c r="E30" i="1"/>
  <c r="H26" i="1" l="1"/>
  <c r="I26" i="1" s="1"/>
  <c r="H27" i="1"/>
  <c r="I27" i="1" s="1"/>
  <c r="H25" i="1"/>
  <c r="I25" i="1" s="1"/>
  <c r="H28" i="1"/>
  <c r="I28" i="1" s="1"/>
  <c r="H24" i="1"/>
  <c r="I24" i="1" s="1"/>
  <c r="G30" i="1"/>
  <c r="K26" i="1" l="1"/>
  <c r="K24" i="1"/>
  <c r="K28" i="1"/>
  <c r="K27" i="1"/>
  <c r="K25" i="1"/>
  <c r="H30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3" i="1"/>
  <c r="G3" i="1" s="1"/>
  <c r="E2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H11" i="1" l="1"/>
  <c r="I11" i="1" s="1"/>
  <c r="H10" i="1"/>
  <c r="I10" i="1" s="1"/>
  <c r="H9" i="1"/>
  <c r="I9" i="1" s="1"/>
  <c r="H16" i="1"/>
  <c r="I16" i="1" s="1"/>
  <c r="H8" i="1"/>
  <c r="I8" i="1" s="1"/>
  <c r="H18" i="1"/>
  <c r="I18" i="1" s="1"/>
  <c r="H15" i="1"/>
  <c r="I15" i="1" s="1"/>
  <c r="H7" i="1"/>
  <c r="I7" i="1" s="1"/>
  <c r="T2" i="1"/>
  <c r="H3" i="1"/>
  <c r="I3" i="1" s="1"/>
  <c r="G20" i="1"/>
  <c r="H17" i="1"/>
  <c r="I17" i="1" s="1"/>
  <c r="H14" i="1"/>
  <c r="I14" i="1" s="1"/>
  <c r="H6" i="1"/>
  <c r="I6" i="1"/>
  <c r="H13" i="1"/>
  <c r="I13" i="1" s="1"/>
  <c r="H5" i="1"/>
  <c r="I5" i="1" s="1"/>
  <c r="H12" i="1"/>
  <c r="I12" i="1" s="1"/>
  <c r="H4" i="1"/>
  <c r="I4" i="1" s="1"/>
  <c r="I30" i="1"/>
  <c r="J28" i="1" l="1"/>
  <c r="J26" i="1"/>
  <c r="J27" i="1"/>
  <c r="J25" i="1"/>
  <c r="J24" i="1"/>
  <c r="K16" i="1"/>
  <c r="J16" i="1"/>
  <c r="K12" i="1"/>
  <c r="J12" i="1"/>
  <c r="K8" i="1"/>
  <c r="J8" i="1"/>
  <c r="K5" i="1"/>
  <c r="J5" i="1"/>
  <c r="K13" i="1"/>
  <c r="J13" i="1"/>
  <c r="K7" i="1"/>
  <c r="J7" i="1"/>
  <c r="K14" i="1"/>
  <c r="J14" i="1"/>
  <c r="K17" i="1"/>
  <c r="J17" i="1"/>
  <c r="K11" i="1"/>
  <c r="J11" i="1"/>
  <c r="K15" i="1"/>
  <c r="J15" i="1"/>
  <c r="K9" i="1"/>
  <c r="J9" i="1"/>
  <c r="K10" i="1"/>
  <c r="J10" i="1"/>
  <c r="J3" i="1"/>
  <c r="I20" i="1"/>
  <c r="K3" i="1"/>
  <c r="K18" i="1"/>
  <c r="J18" i="1"/>
  <c r="K6" i="1"/>
  <c r="J6" i="1"/>
  <c r="H20" i="1"/>
  <c r="K4" i="1"/>
  <c r="J4" i="1"/>
</calcChain>
</file>

<file path=xl/sharedStrings.xml><?xml version="1.0" encoding="utf-8"?>
<sst xmlns="http://schemas.openxmlformats.org/spreadsheetml/2006/main" count="99" uniqueCount="54">
  <si>
    <t>請求額一覧表</t>
    <rPh sb="0" eb="2">
      <t>セイキュウ</t>
    </rPh>
    <rPh sb="2" eb="3">
      <t>ガク</t>
    </rPh>
    <rPh sb="3" eb="5">
      <t>イチラン</t>
    </rPh>
    <rPh sb="5" eb="6">
      <t>ヒョウ</t>
    </rPh>
    <phoneticPr fontId="1"/>
  </si>
  <si>
    <t>販CO</t>
    <rPh sb="0" eb="1">
      <t>ハン</t>
    </rPh>
    <phoneticPr fontId="1"/>
  </si>
  <si>
    <t>販売先名</t>
    <rPh sb="0" eb="2">
      <t>ハンバイ</t>
    </rPh>
    <rPh sb="2" eb="3">
      <t>サキ</t>
    </rPh>
    <rPh sb="3" eb="4">
      <t>メイ</t>
    </rPh>
    <phoneticPr fontId="1"/>
  </si>
  <si>
    <t>商CO</t>
    <rPh sb="0" eb="1">
      <t>ショウ</t>
    </rPh>
    <phoneticPr fontId="1"/>
  </si>
  <si>
    <t>商品名</t>
    <rPh sb="0" eb="3">
      <t>ショウヒンメイ</t>
    </rPh>
    <phoneticPr fontId="1"/>
  </si>
  <si>
    <t>販売数</t>
    <rPh sb="0" eb="2">
      <t>ハンバイ</t>
    </rPh>
    <rPh sb="2" eb="3">
      <t>スウ</t>
    </rPh>
    <phoneticPr fontId="1"/>
  </si>
  <si>
    <t>定価</t>
    <rPh sb="0" eb="2">
      <t>テイカ</t>
    </rPh>
    <phoneticPr fontId="1"/>
  </si>
  <si>
    <t>販売額</t>
    <rPh sb="0" eb="2">
      <t>ハンバイ</t>
    </rPh>
    <rPh sb="2" eb="3">
      <t>ガク</t>
    </rPh>
    <phoneticPr fontId="1"/>
  </si>
  <si>
    <t>請求額</t>
    <rPh sb="0" eb="2">
      <t>セイキュウ</t>
    </rPh>
    <rPh sb="2" eb="3">
      <t>ガク</t>
    </rPh>
    <phoneticPr fontId="1"/>
  </si>
  <si>
    <t>割引額</t>
    <rPh sb="0" eb="3">
      <t>ワリビキガク</t>
    </rPh>
    <phoneticPr fontId="1"/>
  </si>
  <si>
    <t>請求額</t>
    <rPh sb="0" eb="3">
      <t>セイキュウガク</t>
    </rPh>
    <phoneticPr fontId="1"/>
  </si>
  <si>
    <t>順位</t>
    <rPh sb="0" eb="2">
      <t>ジュンイ</t>
    </rPh>
    <phoneticPr fontId="1"/>
  </si>
  <si>
    <t>判定</t>
    <rPh sb="0" eb="2">
      <t>ハンテイ</t>
    </rPh>
    <phoneticPr fontId="1"/>
  </si>
  <si>
    <t>合計</t>
    <rPh sb="0" eb="2">
      <t>ゴウケイ</t>
    </rPh>
    <phoneticPr fontId="1"/>
  </si>
  <si>
    <t>商品別集計表</t>
    <rPh sb="0" eb="2">
      <t>ショウヒン</t>
    </rPh>
    <rPh sb="2" eb="3">
      <t>ベツ</t>
    </rPh>
    <rPh sb="3" eb="5">
      <t>シュウケイ</t>
    </rPh>
    <rPh sb="5" eb="6">
      <t>ヒョウ</t>
    </rPh>
    <phoneticPr fontId="1"/>
  </si>
  <si>
    <t>A商品</t>
    <rPh sb="1" eb="3">
      <t>ショウヒン</t>
    </rPh>
    <phoneticPr fontId="1"/>
  </si>
  <si>
    <t>B商品</t>
    <rPh sb="1" eb="3">
      <t>ショウヒン</t>
    </rPh>
    <phoneticPr fontId="1"/>
  </si>
  <si>
    <t>C商品</t>
    <rPh sb="1" eb="3">
      <t>ショウヒン</t>
    </rPh>
    <phoneticPr fontId="1"/>
  </si>
  <si>
    <t>D商品</t>
    <rPh sb="1" eb="3">
      <t>ショウヒン</t>
    </rPh>
    <phoneticPr fontId="1"/>
  </si>
  <si>
    <t>商品名</t>
    <rPh sb="0" eb="2">
      <t>ショウヒン</t>
    </rPh>
    <phoneticPr fontId="1"/>
  </si>
  <si>
    <t>販売額が30万円以上40万円未満の割引額の合計</t>
    <rPh sb="0" eb="2">
      <t>ハンバイ</t>
    </rPh>
    <rPh sb="2" eb="3">
      <t>ガク</t>
    </rPh>
    <rPh sb="6" eb="7">
      <t>マン</t>
    </rPh>
    <rPh sb="7" eb="8">
      <t>エン</t>
    </rPh>
    <rPh sb="8" eb="10">
      <t>イジョウ</t>
    </rPh>
    <rPh sb="12" eb="14">
      <t>マンエン</t>
    </rPh>
    <rPh sb="14" eb="16">
      <t>ミマン</t>
    </rPh>
    <rPh sb="17" eb="20">
      <t>ワリビキガク</t>
    </rPh>
    <rPh sb="21" eb="23">
      <t>ゴウケイ</t>
    </rPh>
    <phoneticPr fontId="1"/>
  </si>
  <si>
    <t>販売数が150以下で請求額が20万円以上の件数</t>
    <rPh sb="0" eb="2">
      <t>ハンバイ</t>
    </rPh>
    <rPh sb="2" eb="3">
      <t>スウ</t>
    </rPh>
    <rPh sb="7" eb="9">
      <t>イカ</t>
    </rPh>
    <rPh sb="10" eb="12">
      <t>セイキュウ</t>
    </rPh>
    <rPh sb="12" eb="13">
      <t>ガク</t>
    </rPh>
    <rPh sb="16" eb="20">
      <t>マンエンイジョウ</t>
    </rPh>
    <rPh sb="21" eb="23">
      <t>ケンスウ</t>
    </rPh>
    <phoneticPr fontId="1"/>
  </si>
  <si>
    <t>販売先名がシロイシ以外の販売額の平均</t>
    <rPh sb="0" eb="2">
      <t>ハンバイ</t>
    </rPh>
    <rPh sb="2" eb="3">
      <t>サキ</t>
    </rPh>
    <rPh sb="3" eb="4">
      <t>メイ</t>
    </rPh>
    <rPh sb="9" eb="11">
      <t>イガイ</t>
    </rPh>
    <rPh sb="12" eb="14">
      <t>ハンバイ</t>
    </rPh>
    <rPh sb="14" eb="15">
      <t>ガク</t>
    </rPh>
    <rPh sb="16" eb="18">
      <t>ヘイキン</t>
    </rPh>
    <phoneticPr fontId="1"/>
  </si>
  <si>
    <t>販売先テーブル</t>
    <rPh sb="0" eb="3">
      <t>ハンバイサキ</t>
    </rPh>
    <phoneticPr fontId="1"/>
  </si>
  <si>
    <t>黒丸商店</t>
    <rPh sb="0" eb="2">
      <t>クロマル</t>
    </rPh>
    <rPh sb="2" eb="4">
      <t>ショウテン</t>
    </rPh>
    <phoneticPr fontId="1"/>
  </si>
  <si>
    <t>川岸販売</t>
    <rPh sb="0" eb="2">
      <t>カワギシ</t>
    </rPh>
    <rPh sb="2" eb="4">
      <t>ハンバイ</t>
    </rPh>
    <phoneticPr fontId="1"/>
  </si>
  <si>
    <t>シロイシ</t>
    <phoneticPr fontId="1"/>
  </si>
  <si>
    <t>十字本店</t>
    <rPh sb="0" eb="2">
      <t>ジュウジ</t>
    </rPh>
    <rPh sb="2" eb="4">
      <t>ホンテン</t>
    </rPh>
    <phoneticPr fontId="1"/>
  </si>
  <si>
    <t>商品テーブル</t>
    <rPh sb="0" eb="2">
      <t>ショウヒン</t>
    </rPh>
    <phoneticPr fontId="1"/>
  </si>
  <si>
    <t>原価</t>
    <rPh sb="0" eb="2">
      <t>ゲンカ</t>
    </rPh>
    <phoneticPr fontId="1"/>
  </si>
  <si>
    <t>割引率表</t>
    <rPh sb="0" eb="2">
      <t>ワリビキ</t>
    </rPh>
    <rPh sb="2" eb="3">
      <t>リツ</t>
    </rPh>
    <rPh sb="3" eb="4">
      <t>ヒョウ</t>
    </rPh>
    <phoneticPr fontId="1"/>
  </si>
  <si>
    <t>100番台</t>
    <rPh sb="3" eb="4">
      <t>バン</t>
    </rPh>
    <rPh sb="4" eb="5">
      <t>ダイ</t>
    </rPh>
    <phoneticPr fontId="1"/>
  </si>
  <si>
    <t>200番台</t>
    <rPh sb="3" eb="4">
      <t>バン</t>
    </rPh>
    <rPh sb="4" eb="5">
      <t>ダイ</t>
    </rPh>
    <phoneticPr fontId="1"/>
  </si>
  <si>
    <t>　1以上　100未満</t>
    <rPh sb="2" eb="4">
      <t>イジョウ</t>
    </rPh>
    <rPh sb="8" eb="10">
      <t>ミマン</t>
    </rPh>
    <phoneticPr fontId="1"/>
  </si>
  <si>
    <t>100以上　150未満</t>
    <rPh sb="3" eb="5">
      <t>イジョウ</t>
    </rPh>
    <rPh sb="9" eb="11">
      <t>ミマン</t>
    </rPh>
    <phoneticPr fontId="1"/>
  </si>
  <si>
    <t>150以上</t>
    <rPh sb="3" eb="5">
      <t>イジョウ</t>
    </rPh>
    <phoneticPr fontId="1"/>
  </si>
  <si>
    <t>商品名</t>
    <rPh sb="0" eb="3">
      <t>ショウヒンメイ</t>
    </rPh>
    <phoneticPr fontId="1"/>
  </si>
  <si>
    <t>A商品</t>
    <rPh sb="1" eb="3">
      <t>ショウヒン</t>
    </rPh>
    <phoneticPr fontId="1"/>
  </si>
  <si>
    <t>B商品</t>
    <rPh sb="1" eb="3">
      <t>ショウヒン</t>
    </rPh>
    <phoneticPr fontId="1"/>
  </si>
  <si>
    <t>C商品</t>
    <rPh sb="1" eb="3">
      <t>ショウヒン</t>
    </rPh>
    <phoneticPr fontId="1"/>
  </si>
  <si>
    <t>D商品</t>
    <rPh sb="1" eb="3">
      <t>ショウヒン</t>
    </rPh>
    <phoneticPr fontId="1"/>
  </si>
  <si>
    <t>請求額一覧表（C商品以外・販売数100以下）</t>
    <rPh sb="0" eb="2">
      <t>セイキュウ</t>
    </rPh>
    <rPh sb="2" eb="3">
      <t>ガク</t>
    </rPh>
    <rPh sb="3" eb="5">
      <t>イチラン</t>
    </rPh>
    <rPh sb="5" eb="6">
      <t>ヒョウ</t>
    </rPh>
    <rPh sb="8" eb="10">
      <t>ショウヒン</t>
    </rPh>
    <rPh sb="10" eb="12">
      <t>イガイ</t>
    </rPh>
    <rPh sb="13" eb="15">
      <t>ハンバイ</t>
    </rPh>
    <rPh sb="15" eb="16">
      <t>スウ</t>
    </rPh>
    <rPh sb="19" eb="21">
      <t>イカ</t>
    </rPh>
    <phoneticPr fontId="1"/>
  </si>
  <si>
    <t>販売額</t>
    <rPh sb="0" eb="2">
      <t>ハンバイ</t>
    </rPh>
    <rPh sb="2" eb="3">
      <t>ガク</t>
    </rPh>
    <phoneticPr fontId="1"/>
  </si>
  <si>
    <t>&gt;=300000</t>
    <phoneticPr fontId="1"/>
  </si>
  <si>
    <t>&lt;400000</t>
    <phoneticPr fontId="1"/>
  </si>
  <si>
    <t>請求額</t>
    <rPh sb="0" eb="2">
      <t>セイキュウ</t>
    </rPh>
    <rPh sb="2" eb="3">
      <t>ガク</t>
    </rPh>
    <phoneticPr fontId="1"/>
  </si>
  <si>
    <t>&lt;=150</t>
    <phoneticPr fontId="1"/>
  </si>
  <si>
    <t>&gt;=200000</t>
    <phoneticPr fontId="1"/>
  </si>
  <si>
    <t>販売数</t>
    <rPh sb="0" eb="2">
      <t>ハンバイ</t>
    </rPh>
    <rPh sb="2" eb="3">
      <t>スウ</t>
    </rPh>
    <phoneticPr fontId="1"/>
  </si>
  <si>
    <t>&lt;&gt;シロイシ</t>
    <phoneticPr fontId="1"/>
  </si>
  <si>
    <t>販売先名</t>
    <rPh sb="0" eb="3">
      <t>ハンバイサキ</t>
    </rPh>
    <rPh sb="3" eb="4">
      <t>メイ</t>
    </rPh>
    <phoneticPr fontId="1"/>
  </si>
  <si>
    <t>別解答</t>
    <rPh sb="0" eb="1">
      <t>ベツ</t>
    </rPh>
    <rPh sb="1" eb="3">
      <t>カイトウ</t>
    </rPh>
    <phoneticPr fontId="1"/>
  </si>
  <si>
    <t>本解答はデータベース関数のDSUMを使用しています。別解答はSUMIFを使用しています</t>
    <rPh sb="0" eb="3">
      <t>ホンカイトウ</t>
    </rPh>
    <rPh sb="10" eb="12">
      <t>カンスウ</t>
    </rPh>
    <rPh sb="18" eb="20">
      <t>シヨウ</t>
    </rPh>
    <rPh sb="26" eb="27">
      <t>ベツ</t>
    </rPh>
    <rPh sb="27" eb="29">
      <t>カイトウ</t>
    </rPh>
    <rPh sb="36" eb="38">
      <t>シヨウ</t>
    </rPh>
    <phoneticPr fontId="1"/>
  </si>
  <si>
    <t>本解答はデータベース関数のDSUM、DCOUNT、DAVERAGEをしようしていますが、別解答はSUMIFS、COUNTIFS、AVERAGEIFを使用しています。</t>
    <rPh sb="0" eb="3">
      <t>ホンカイトウ</t>
    </rPh>
    <rPh sb="10" eb="12">
      <t>カンスウ</t>
    </rPh>
    <rPh sb="44" eb="45">
      <t>ベツ</t>
    </rPh>
    <rPh sb="45" eb="47">
      <t>カイトウ</t>
    </rPh>
    <rPh sb="74" eb="7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</si>
</sst>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9" fontId="0" fillId="2" borderId="1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176" fontId="0" fillId="0" borderId="7" xfId="0" applyNumberForma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176" fontId="0" fillId="0" borderId="9" xfId="0" applyNumberForma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0" fillId="0" borderId="12" xfId="0" applyNumberFormat="1" applyBorder="1" applyAlignment="1">
      <alignment vertical="center"/>
    </xf>
    <xf numFmtId="0" fontId="0" fillId="0" borderId="20" xfId="0" applyFill="1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商品別の割引額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Sheet1!$C$32</c:f>
              <c:strCache>
                <c:ptCount val="1"/>
                <c:pt idx="0">
                  <c:v>割引額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Sheet1!$A$33:$A$36</c:f>
              <c:strCache>
                <c:ptCount val="4"/>
                <c:pt idx="0">
                  <c:v>A商品</c:v>
                </c:pt>
                <c:pt idx="1">
                  <c:v>B商品</c:v>
                </c:pt>
                <c:pt idx="2">
                  <c:v>C商品</c:v>
                </c:pt>
                <c:pt idx="3">
                  <c:v>D商品</c:v>
                </c:pt>
              </c:strCache>
            </c:strRef>
          </c:cat>
          <c:val>
            <c:numRef>
              <c:f>Sheet1!$C$33:$C$36</c:f>
              <c:numCache>
                <c:formatCode>#,##0_ </c:formatCode>
                <c:ptCount val="4"/>
                <c:pt idx="0">
                  <c:v>42990</c:v>
                </c:pt>
                <c:pt idx="1">
                  <c:v>71020</c:v>
                </c:pt>
                <c:pt idx="2">
                  <c:v>56650</c:v>
                </c:pt>
                <c:pt idx="3">
                  <c:v>76710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B-4B79-A817-3E086400D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343136"/>
        <c:axId val="703334936"/>
      </c:barChart>
      <c:catAx>
        <c:axId val="7033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334936"/>
        <c:crosses val="autoZero"/>
        <c:auto val="1"/>
        <c:lblAlgn val="ctr"/>
        <c:lblOffset val="100"/>
        <c:noMultiLvlLbl val="0"/>
      </c:catAx>
      <c:valAx>
        <c:axId val="70333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3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350520</xdr:colOff>
      <xdr:row>27</xdr:row>
      <xdr:rowOff>213360</xdr:rowOff>
    </xdr:from>
    <xdr:to>
      <xdr:col>19</xdr:col>
      <xdr:colOff>15240</xdr:colOff>
      <xdr:row>33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FB1CD0-1C9E-475A-9760-D677DAB40061}"/>
            </a:ext>
          </a:extLst>
        </xdr:cNvPr>
        <xdr:cNvSpPr txBox="1"/>
      </xdr:nvSpPr>
      <xdr:spPr>
        <a:xfrm>
          <a:off x="7132320" y="6408420"/>
          <a:ext cx="4762500" cy="1325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Ｈ３にセルに入っている関数は</a:t>
          </a:r>
          <a:r>
            <a:rPr kumimoji="1" lang="en-US" altLang="ja-JP" sz="1100">
              <a:solidFill>
                <a:srgbClr val="FF0000"/>
              </a:solidFill>
            </a:rPr>
            <a:t>=ROUNDUP(G3*VLOOKUP(E3,$M$18:$Q$20,INT(C3/100)+3,1),-1)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ですが、</a:t>
          </a:r>
          <a:r>
            <a:rPr kumimoji="1" lang="en-US" altLang="ja-JP" sz="1100">
              <a:solidFill>
                <a:srgbClr val="FF0000"/>
              </a:solidFill>
            </a:rPr>
            <a:t>=ROUNDUP(G3*IF(INT(C3/100)*100=100,VLOOKUP(E3,$M$18:$Q$20,4,1),VLOOKUP(E3,$M$18:$Q$20,5,1)),-1)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でもいいです。ちょっと長いですが。</a:t>
          </a:r>
        </a:p>
      </xdr:txBody>
    </xdr:sp>
    <xdr:clientData/>
  </xdr:twoCellAnchor>
  <xdr:twoCellAnchor>
    <xdr:from>
      <xdr:col>11</xdr:col>
      <xdr:colOff>346710</xdr:colOff>
      <xdr:row>34</xdr:row>
      <xdr:rowOff>19050</xdr:rowOff>
    </xdr:from>
    <xdr:to>
      <xdr:col>18</xdr:col>
      <xdr:colOff>491490</xdr:colOff>
      <xdr:row>45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91D2E1-C188-4D22-A60A-8C044593A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82AF-9AFA-4268-B528-AEDDF97C9335}">
  <dimension ref="A1:T46"/>
  <sheetViews>
    <sheetView tabSelected="1" topLeftCell="A28" workbookViewId="0">
      <selection activeCell="U45" sqref="U45"/>
    </sheetView>
  </sheetViews>
  <sheetFormatPr defaultRowHeight="18" x14ac:dyDescent="0.45"/>
  <cols>
    <col min="1" max="1" width="6.796875" bestFit="1" customWidth="1"/>
    <col min="2" max="2" width="8.59765625" bestFit="1" customWidth="1"/>
    <col min="3" max="3" width="7.3984375" bestFit="1" customWidth="1"/>
    <col min="4" max="4" width="9.8984375" bestFit="1" customWidth="1"/>
    <col min="5" max="5" width="6.796875" bestFit="1" customWidth="1"/>
    <col min="6" max="6" width="6.3984375" bestFit="1" customWidth="1"/>
    <col min="7" max="7" width="9.8984375" bestFit="1" customWidth="1"/>
    <col min="8" max="8" width="8.3984375" bestFit="1" customWidth="1"/>
    <col min="9" max="9" width="9.8984375" bestFit="1" customWidth="1"/>
    <col min="10" max="10" width="5" bestFit="1" customWidth="1"/>
    <col min="11" max="11" width="9.8984375" bestFit="1" customWidth="1"/>
    <col min="12" max="12" width="4.69921875" customWidth="1"/>
    <col min="13" max="13" width="10" bestFit="1" customWidth="1"/>
    <col min="14" max="14" width="8.69921875" bestFit="1" customWidth="1"/>
    <col min="15" max="15" width="7" bestFit="1" customWidth="1"/>
    <col min="16" max="16" width="10" bestFit="1" customWidth="1"/>
    <col min="17" max="17" width="11.296875" bestFit="1" customWidth="1"/>
    <col min="18" max="18" width="6.3984375" bestFit="1" customWidth="1"/>
    <col min="20" max="20" width="6.3984375" bestFit="1" customWidth="1"/>
  </cols>
  <sheetData>
    <row r="1" spans="1:20" ht="18.600000000000001" thickBot="1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0" x14ac:dyDescent="0.45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9</v>
      </c>
      <c r="I2" s="21" t="s">
        <v>10</v>
      </c>
      <c r="J2" s="21" t="s">
        <v>11</v>
      </c>
      <c r="K2" s="22" t="s">
        <v>12</v>
      </c>
      <c r="M2" s="18" t="s">
        <v>23</v>
      </c>
      <c r="N2" s="18"/>
      <c r="P2" s="15" t="s">
        <v>28</v>
      </c>
      <c r="Q2" s="15"/>
      <c r="R2" s="15"/>
      <c r="T2">
        <f>ROUNDUP(G3*IF(INT(C3/100)*100=100,VLOOKUP(E3,$M$18:$Q$20,4,1),VLOOKUP(E3,$M$18:$Q$20,5,1)),-1)</f>
        <v>21300</v>
      </c>
    </row>
    <row r="3" spans="1:20" x14ac:dyDescent="0.45">
      <c r="A3" s="23">
        <v>11</v>
      </c>
      <c r="B3" s="2" t="str">
        <f>VLOOKUP(A3,$M$4:$N$7,2,0)</f>
        <v>黒丸商店</v>
      </c>
      <c r="C3" s="2">
        <v>101</v>
      </c>
      <c r="D3" s="2" t="str">
        <f>VLOOKUP(C3,$P$4:$R$7,2,0)</f>
        <v>A商品</v>
      </c>
      <c r="E3" s="2">
        <v>195</v>
      </c>
      <c r="F3" s="3">
        <f>ROUNDDOWN(VLOOKUP(C3,$P$4:$R$7,3,0)*1.3,-1)</f>
        <v>1560</v>
      </c>
      <c r="G3" s="3">
        <f>F3*E3</f>
        <v>304200</v>
      </c>
      <c r="H3" s="3">
        <f>ROUNDUP(G3*VLOOKUP(E3,$M$18:$Q$20,INT(C3/100)+3,1),-1)</f>
        <v>21300</v>
      </c>
      <c r="I3" s="3">
        <f>G3-H3</f>
        <v>282900</v>
      </c>
      <c r="J3" s="2">
        <f>RANK(I3,$I$3:$I$18,0)</f>
        <v>8</v>
      </c>
      <c r="K3" s="24" t="str">
        <f>IF(AND(E3&gt;=100,I3&lt;300000),"*","")</f>
        <v>*</v>
      </c>
      <c r="M3" s="1" t="s">
        <v>1</v>
      </c>
      <c r="N3" s="1" t="s">
        <v>2</v>
      </c>
      <c r="P3" s="1" t="s">
        <v>3</v>
      </c>
      <c r="Q3" s="1" t="s">
        <v>4</v>
      </c>
      <c r="R3" s="1" t="s">
        <v>29</v>
      </c>
    </row>
    <row r="4" spans="1:20" x14ac:dyDescent="0.45">
      <c r="A4" s="23">
        <v>11</v>
      </c>
      <c r="B4" s="2" t="str">
        <f t="shared" ref="B4:B18" si="0">VLOOKUP(A4,$M$4:$N$7,2,0)</f>
        <v>黒丸商店</v>
      </c>
      <c r="C4" s="2">
        <v>102</v>
      </c>
      <c r="D4" s="2" t="str">
        <f t="shared" ref="D4:D18" si="1">VLOOKUP(C4,$P$4:$R$7,2,0)</f>
        <v>B商品</v>
      </c>
      <c r="E4" s="2">
        <v>69</v>
      </c>
      <c r="F4" s="3">
        <f t="shared" ref="F4:F18" si="2">ROUNDDOWN(VLOOKUP(C4,$P$4:$R$7,3,0)*1.3,-1)</f>
        <v>2170</v>
      </c>
      <c r="G4" s="3">
        <f t="shared" ref="G4:G18" si="3">F4*E4</f>
        <v>149730</v>
      </c>
      <c r="H4" s="3">
        <f t="shared" ref="H4:H18" si="4">ROUNDUP(G4*VLOOKUP(E4,$M$18:$Q$20,INT(C4/100)+3,1),-1)</f>
        <v>7490</v>
      </c>
      <c r="I4" s="3">
        <f t="shared" ref="I4:I18" si="5">G4-H4</f>
        <v>142240</v>
      </c>
      <c r="J4" s="2">
        <f t="shared" ref="J4:J18" si="6">RANK(I4,$I$3:$I$18,0)</f>
        <v>14</v>
      </c>
      <c r="K4" s="24" t="str">
        <f t="shared" ref="K4:K18" si="7">IF(AND(E4&gt;=100,I4&lt;300000),"*","")</f>
        <v/>
      </c>
      <c r="M4" s="2">
        <v>11</v>
      </c>
      <c r="N4" s="2" t="s">
        <v>24</v>
      </c>
      <c r="P4" s="2">
        <v>101</v>
      </c>
      <c r="Q4" s="2" t="s">
        <v>15</v>
      </c>
      <c r="R4" s="3">
        <v>1201</v>
      </c>
    </row>
    <row r="5" spans="1:20" x14ac:dyDescent="0.45">
      <c r="A5" s="23">
        <v>11</v>
      </c>
      <c r="B5" s="2" t="str">
        <f t="shared" si="0"/>
        <v>黒丸商店</v>
      </c>
      <c r="C5" s="2">
        <v>201</v>
      </c>
      <c r="D5" s="2" t="str">
        <f t="shared" si="1"/>
        <v>C商品</v>
      </c>
      <c r="E5" s="2">
        <v>71</v>
      </c>
      <c r="F5" s="3">
        <f t="shared" si="2"/>
        <v>2820</v>
      </c>
      <c r="G5" s="3">
        <f t="shared" si="3"/>
        <v>200220</v>
      </c>
      <c r="H5" s="3">
        <f t="shared" si="4"/>
        <v>6010</v>
      </c>
      <c r="I5" s="3">
        <f t="shared" si="5"/>
        <v>194210</v>
      </c>
      <c r="J5" s="2">
        <f t="shared" si="6"/>
        <v>12</v>
      </c>
      <c r="K5" s="24" t="str">
        <f t="shared" si="7"/>
        <v/>
      </c>
      <c r="M5" s="2">
        <v>12</v>
      </c>
      <c r="N5" s="2" t="s">
        <v>25</v>
      </c>
      <c r="P5" s="2">
        <v>102</v>
      </c>
      <c r="Q5" s="2" t="s">
        <v>16</v>
      </c>
      <c r="R5" s="3">
        <v>1673</v>
      </c>
    </row>
    <row r="6" spans="1:20" x14ac:dyDescent="0.45">
      <c r="A6" s="23">
        <v>11</v>
      </c>
      <c r="B6" s="2" t="str">
        <f t="shared" si="0"/>
        <v>黒丸商店</v>
      </c>
      <c r="C6" s="2">
        <v>202</v>
      </c>
      <c r="D6" s="2" t="str">
        <f t="shared" si="1"/>
        <v>D商品</v>
      </c>
      <c r="E6" s="2">
        <v>130</v>
      </c>
      <c r="F6" s="3">
        <f t="shared" si="2"/>
        <v>3000</v>
      </c>
      <c r="G6" s="3">
        <f t="shared" si="3"/>
        <v>390000</v>
      </c>
      <c r="H6" s="3">
        <f t="shared" si="4"/>
        <v>15600</v>
      </c>
      <c r="I6" s="3">
        <f t="shared" si="5"/>
        <v>374400</v>
      </c>
      <c r="J6" s="2">
        <f t="shared" si="6"/>
        <v>5</v>
      </c>
      <c r="K6" s="24" t="str">
        <f t="shared" si="7"/>
        <v/>
      </c>
      <c r="M6" s="2">
        <v>13</v>
      </c>
      <c r="N6" s="2" t="s">
        <v>26</v>
      </c>
      <c r="P6" s="2">
        <v>201</v>
      </c>
      <c r="Q6" s="2" t="s">
        <v>17</v>
      </c>
      <c r="R6" s="3">
        <v>2172</v>
      </c>
    </row>
    <row r="7" spans="1:20" x14ac:dyDescent="0.45">
      <c r="A7" s="23">
        <v>12</v>
      </c>
      <c r="B7" s="2" t="str">
        <f t="shared" si="0"/>
        <v>川岸販売</v>
      </c>
      <c r="C7" s="2">
        <v>101</v>
      </c>
      <c r="D7" s="2" t="str">
        <f t="shared" si="1"/>
        <v>A商品</v>
      </c>
      <c r="E7" s="2">
        <v>100</v>
      </c>
      <c r="F7" s="3">
        <f t="shared" si="2"/>
        <v>1560</v>
      </c>
      <c r="G7" s="3">
        <f t="shared" si="3"/>
        <v>156000</v>
      </c>
      <c r="H7" s="3">
        <f t="shared" si="4"/>
        <v>9360</v>
      </c>
      <c r="I7" s="3">
        <f t="shared" si="5"/>
        <v>146640</v>
      </c>
      <c r="J7" s="2">
        <f t="shared" si="6"/>
        <v>13</v>
      </c>
      <c r="K7" s="24" t="str">
        <f t="shared" si="7"/>
        <v>*</v>
      </c>
      <c r="M7" s="2">
        <v>14</v>
      </c>
      <c r="N7" s="2" t="s">
        <v>27</v>
      </c>
      <c r="P7" s="2">
        <v>202</v>
      </c>
      <c r="Q7" s="2" t="s">
        <v>18</v>
      </c>
      <c r="R7" s="3">
        <v>2312</v>
      </c>
    </row>
    <row r="8" spans="1:20" x14ac:dyDescent="0.45">
      <c r="A8" s="23">
        <v>12</v>
      </c>
      <c r="B8" s="2" t="str">
        <f t="shared" si="0"/>
        <v>川岸販売</v>
      </c>
      <c r="C8" s="2">
        <v>102</v>
      </c>
      <c r="D8" s="2" t="str">
        <f t="shared" si="1"/>
        <v>B商品</v>
      </c>
      <c r="E8" s="2">
        <v>125</v>
      </c>
      <c r="F8" s="3">
        <f t="shared" si="2"/>
        <v>2170</v>
      </c>
      <c r="G8" s="3">
        <f t="shared" si="3"/>
        <v>271250</v>
      </c>
      <c r="H8" s="3">
        <f t="shared" si="4"/>
        <v>16280</v>
      </c>
      <c r="I8" s="3">
        <f t="shared" si="5"/>
        <v>254970</v>
      </c>
      <c r="J8" s="2">
        <f t="shared" si="6"/>
        <v>11</v>
      </c>
      <c r="K8" s="24" t="str">
        <f t="shared" si="7"/>
        <v>*</v>
      </c>
    </row>
    <row r="9" spans="1:20" x14ac:dyDescent="0.45">
      <c r="A9" s="23">
        <v>12</v>
      </c>
      <c r="B9" s="2" t="str">
        <f t="shared" si="0"/>
        <v>川岸販売</v>
      </c>
      <c r="C9" s="2">
        <v>201</v>
      </c>
      <c r="D9" s="2" t="str">
        <f t="shared" si="1"/>
        <v>C商品</v>
      </c>
      <c r="E9" s="2">
        <v>134</v>
      </c>
      <c r="F9" s="3">
        <f t="shared" si="2"/>
        <v>2820</v>
      </c>
      <c r="G9" s="3">
        <f t="shared" si="3"/>
        <v>377880</v>
      </c>
      <c r="H9" s="3">
        <f t="shared" si="4"/>
        <v>15120</v>
      </c>
      <c r="I9" s="3">
        <f t="shared" si="5"/>
        <v>362760</v>
      </c>
      <c r="J9" s="2">
        <f t="shared" si="6"/>
        <v>6</v>
      </c>
      <c r="K9" s="24" t="str">
        <f t="shared" si="7"/>
        <v/>
      </c>
      <c r="M9" s="19" t="s">
        <v>30</v>
      </c>
      <c r="N9" s="19"/>
      <c r="O9" s="19"/>
      <c r="P9" s="19"/>
      <c r="Q9" s="19"/>
    </row>
    <row r="10" spans="1:20" x14ac:dyDescent="0.45">
      <c r="A10" s="23">
        <v>12</v>
      </c>
      <c r="B10" s="2" t="str">
        <f t="shared" si="0"/>
        <v>川岸販売</v>
      </c>
      <c r="C10" s="2">
        <v>202</v>
      </c>
      <c r="D10" s="2" t="str">
        <f t="shared" si="1"/>
        <v>D商品</v>
      </c>
      <c r="E10" s="2">
        <v>99</v>
      </c>
      <c r="F10" s="3">
        <f t="shared" si="2"/>
        <v>3000</v>
      </c>
      <c r="G10" s="3">
        <f t="shared" si="3"/>
        <v>297000</v>
      </c>
      <c r="H10" s="3">
        <f t="shared" si="4"/>
        <v>8910</v>
      </c>
      <c r="I10" s="3">
        <f t="shared" si="5"/>
        <v>288090</v>
      </c>
      <c r="J10" s="2">
        <f t="shared" si="6"/>
        <v>7</v>
      </c>
      <c r="K10" s="24" t="str">
        <f t="shared" si="7"/>
        <v/>
      </c>
      <c r="M10" s="17" t="s">
        <v>5</v>
      </c>
      <c r="N10" s="17"/>
      <c r="O10" s="17"/>
      <c r="P10" s="17" t="s">
        <v>3</v>
      </c>
      <c r="Q10" s="17"/>
    </row>
    <row r="11" spans="1:20" x14ac:dyDescent="0.45">
      <c r="A11" s="23">
        <v>13</v>
      </c>
      <c r="B11" s="2" t="str">
        <f t="shared" si="0"/>
        <v>シロイシ</v>
      </c>
      <c r="C11" s="2">
        <v>101</v>
      </c>
      <c r="D11" s="2" t="str">
        <f t="shared" si="1"/>
        <v>A商品</v>
      </c>
      <c r="E11" s="2">
        <v>76</v>
      </c>
      <c r="F11" s="3">
        <f t="shared" si="2"/>
        <v>1560</v>
      </c>
      <c r="G11" s="3">
        <f t="shared" si="3"/>
        <v>118560</v>
      </c>
      <c r="H11" s="3">
        <f t="shared" si="4"/>
        <v>5930</v>
      </c>
      <c r="I11" s="3">
        <f t="shared" si="5"/>
        <v>112630</v>
      </c>
      <c r="J11" s="2">
        <f t="shared" si="6"/>
        <v>16</v>
      </c>
      <c r="K11" s="24" t="str">
        <f t="shared" si="7"/>
        <v/>
      </c>
      <c r="M11" s="17"/>
      <c r="N11" s="17"/>
      <c r="O11" s="17"/>
      <c r="P11" s="2" t="s">
        <v>31</v>
      </c>
      <c r="Q11" s="2" t="s">
        <v>32</v>
      </c>
    </row>
    <row r="12" spans="1:20" x14ac:dyDescent="0.45">
      <c r="A12" s="23">
        <v>13</v>
      </c>
      <c r="B12" s="2" t="str">
        <f t="shared" si="0"/>
        <v>シロイシ</v>
      </c>
      <c r="C12" s="2">
        <v>102</v>
      </c>
      <c r="D12" s="2" t="str">
        <f t="shared" si="1"/>
        <v>B商品</v>
      </c>
      <c r="E12" s="2">
        <v>126</v>
      </c>
      <c r="F12" s="3">
        <f t="shared" si="2"/>
        <v>2170</v>
      </c>
      <c r="G12" s="3">
        <f t="shared" si="3"/>
        <v>273420</v>
      </c>
      <c r="H12" s="3">
        <f t="shared" si="4"/>
        <v>16410</v>
      </c>
      <c r="I12" s="3">
        <f t="shared" si="5"/>
        <v>257010</v>
      </c>
      <c r="J12" s="2">
        <f t="shared" si="6"/>
        <v>10</v>
      </c>
      <c r="K12" s="24" t="str">
        <f t="shared" si="7"/>
        <v>*</v>
      </c>
      <c r="M12" s="16" t="s">
        <v>33</v>
      </c>
      <c r="N12" s="16"/>
      <c r="O12" s="16"/>
      <c r="P12" s="4">
        <v>0.05</v>
      </c>
      <c r="Q12" s="4">
        <v>0.03</v>
      </c>
    </row>
    <row r="13" spans="1:20" x14ac:dyDescent="0.45">
      <c r="A13" s="23">
        <v>13</v>
      </c>
      <c r="B13" s="2" t="str">
        <f t="shared" si="0"/>
        <v>シロイシ</v>
      </c>
      <c r="C13" s="2">
        <v>201</v>
      </c>
      <c r="D13" s="2" t="str">
        <f t="shared" si="1"/>
        <v>C商品</v>
      </c>
      <c r="E13" s="2">
        <v>193</v>
      </c>
      <c r="F13" s="3">
        <f t="shared" si="2"/>
        <v>2820</v>
      </c>
      <c r="G13" s="3">
        <f t="shared" si="3"/>
        <v>544260</v>
      </c>
      <c r="H13" s="3">
        <f t="shared" si="4"/>
        <v>27220</v>
      </c>
      <c r="I13" s="3">
        <f t="shared" si="5"/>
        <v>517040</v>
      </c>
      <c r="J13" s="2">
        <f t="shared" si="6"/>
        <v>2</v>
      </c>
      <c r="K13" s="24" t="str">
        <f t="shared" si="7"/>
        <v/>
      </c>
      <c r="M13" s="16" t="s">
        <v>34</v>
      </c>
      <c r="N13" s="16"/>
      <c r="O13" s="16"/>
      <c r="P13" s="4">
        <v>0.06</v>
      </c>
      <c r="Q13" s="4">
        <v>0.04</v>
      </c>
    </row>
    <row r="14" spans="1:20" x14ac:dyDescent="0.45">
      <c r="A14" s="23">
        <v>13</v>
      </c>
      <c r="B14" s="2" t="str">
        <f t="shared" si="0"/>
        <v>シロイシ</v>
      </c>
      <c r="C14" s="2">
        <v>202</v>
      </c>
      <c r="D14" s="2" t="str">
        <f t="shared" si="1"/>
        <v>D商品</v>
      </c>
      <c r="E14" s="2">
        <v>187</v>
      </c>
      <c r="F14" s="3">
        <f t="shared" si="2"/>
        <v>3000</v>
      </c>
      <c r="G14" s="3">
        <f t="shared" si="3"/>
        <v>561000</v>
      </c>
      <c r="H14" s="3">
        <f t="shared" si="4"/>
        <v>28050</v>
      </c>
      <c r="I14" s="3">
        <f t="shared" si="5"/>
        <v>532950</v>
      </c>
      <c r="J14" s="2">
        <f t="shared" si="6"/>
        <v>1</v>
      </c>
      <c r="K14" s="24" t="str">
        <f t="shared" si="7"/>
        <v/>
      </c>
      <c r="M14" s="16" t="s">
        <v>35</v>
      </c>
      <c r="N14" s="16"/>
      <c r="O14" s="16"/>
      <c r="P14" s="4">
        <v>7.0000000000000007E-2</v>
      </c>
      <c r="Q14" s="4">
        <v>0.05</v>
      </c>
    </row>
    <row r="15" spans="1:20" x14ac:dyDescent="0.45">
      <c r="A15" s="23">
        <v>14</v>
      </c>
      <c r="B15" s="2" t="str">
        <f t="shared" si="0"/>
        <v>十字本店</v>
      </c>
      <c r="C15" s="2">
        <v>101</v>
      </c>
      <c r="D15" s="2" t="str">
        <f t="shared" si="1"/>
        <v>A商品</v>
      </c>
      <c r="E15" s="2">
        <v>82</v>
      </c>
      <c r="F15" s="3">
        <f t="shared" si="2"/>
        <v>1560</v>
      </c>
      <c r="G15" s="3">
        <f t="shared" si="3"/>
        <v>127920</v>
      </c>
      <c r="H15" s="3">
        <f t="shared" si="4"/>
        <v>6400</v>
      </c>
      <c r="I15" s="3">
        <f t="shared" si="5"/>
        <v>121520</v>
      </c>
      <c r="J15" s="2">
        <f t="shared" si="6"/>
        <v>15</v>
      </c>
      <c r="K15" s="24" t="str">
        <f t="shared" si="7"/>
        <v/>
      </c>
      <c r="M15" s="12" t="s">
        <v>30</v>
      </c>
      <c r="N15" s="12"/>
      <c r="O15" s="12"/>
      <c r="P15" s="12"/>
      <c r="Q15" s="12"/>
    </row>
    <row r="16" spans="1:20" x14ac:dyDescent="0.45">
      <c r="A16" s="23">
        <v>14</v>
      </c>
      <c r="B16" s="2" t="str">
        <f t="shared" si="0"/>
        <v>十字本店</v>
      </c>
      <c r="C16" s="2">
        <v>102</v>
      </c>
      <c r="D16" s="2" t="str">
        <f t="shared" si="1"/>
        <v>B商品</v>
      </c>
      <c r="E16" s="2">
        <v>203</v>
      </c>
      <c r="F16" s="3">
        <f t="shared" si="2"/>
        <v>2170</v>
      </c>
      <c r="G16" s="3">
        <f t="shared" si="3"/>
        <v>440510</v>
      </c>
      <c r="H16" s="3">
        <f t="shared" si="4"/>
        <v>30840</v>
      </c>
      <c r="I16" s="3">
        <f t="shared" si="5"/>
        <v>409670</v>
      </c>
      <c r="J16" s="2">
        <f t="shared" si="6"/>
        <v>4</v>
      </c>
      <c r="K16" s="24" t="str">
        <f t="shared" si="7"/>
        <v/>
      </c>
      <c r="M16" s="13" t="s">
        <v>5</v>
      </c>
      <c r="N16" s="13"/>
      <c r="O16" s="13"/>
      <c r="P16" s="13" t="s">
        <v>3</v>
      </c>
      <c r="Q16" s="13"/>
    </row>
    <row r="17" spans="1:17" x14ac:dyDescent="0.45">
      <c r="A17" s="23">
        <v>14</v>
      </c>
      <c r="B17" s="2" t="str">
        <f t="shared" si="0"/>
        <v>十字本店</v>
      </c>
      <c r="C17" s="2">
        <v>201</v>
      </c>
      <c r="D17" s="2" t="str">
        <f t="shared" si="1"/>
        <v>C商品</v>
      </c>
      <c r="E17" s="2">
        <v>98</v>
      </c>
      <c r="F17" s="3">
        <f t="shared" si="2"/>
        <v>2820</v>
      </c>
      <c r="G17" s="3">
        <f t="shared" si="3"/>
        <v>276360</v>
      </c>
      <c r="H17" s="3">
        <f t="shared" si="4"/>
        <v>8300</v>
      </c>
      <c r="I17" s="3">
        <f t="shared" si="5"/>
        <v>268060</v>
      </c>
      <c r="J17" s="2">
        <f t="shared" si="6"/>
        <v>9</v>
      </c>
      <c r="K17" s="24" t="str">
        <f t="shared" si="7"/>
        <v/>
      </c>
      <c r="M17" s="13"/>
      <c r="N17" s="13"/>
      <c r="O17" s="13"/>
      <c r="P17" s="6" t="s">
        <v>31</v>
      </c>
      <c r="Q17" s="6" t="s">
        <v>32</v>
      </c>
    </row>
    <row r="18" spans="1:17" x14ac:dyDescent="0.45">
      <c r="A18" s="23">
        <v>14</v>
      </c>
      <c r="B18" s="2" t="str">
        <f t="shared" si="0"/>
        <v>十字本店</v>
      </c>
      <c r="C18" s="2">
        <v>202</v>
      </c>
      <c r="D18" s="2" t="str">
        <f t="shared" si="1"/>
        <v>D商品</v>
      </c>
      <c r="E18" s="2">
        <v>161</v>
      </c>
      <c r="F18" s="3">
        <f t="shared" si="2"/>
        <v>3000</v>
      </c>
      <c r="G18" s="3">
        <f t="shared" si="3"/>
        <v>483000</v>
      </c>
      <c r="H18" s="3">
        <f t="shared" si="4"/>
        <v>24150</v>
      </c>
      <c r="I18" s="3">
        <f t="shared" si="5"/>
        <v>458850</v>
      </c>
      <c r="J18" s="2">
        <f t="shared" si="6"/>
        <v>3</v>
      </c>
      <c r="K18" s="24" t="str">
        <f t="shared" si="7"/>
        <v/>
      </c>
      <c r="M18" s="11">
        <v>1</v>
      </c>
      <c r="N18" s="11"/>
      <c r="O18" s="11"/>
      <c r="P18" s="7">
        <v>0.05</v>
      </c>
      <c r="Q18" s="7">
        <v>0.03</v>
      </c>
    </row>
    <row r="19" spans="1:17" x14ac:dyDescent="0.45">
      <c r="A19" s="23"/>
      <c r="B19" s="2"/>
      <c r="C19" s="2"/>
      <c r="D19" s="2"/>
      <c r="E19" s="2"/>
      <c r="F19" s="2"/>
      <c r="G19" s="2"/>
      <c r="H19" s="2"/>
      <c r="I19" s="2"/>
      <c r="J19" s="2"/>
      <c r="K19" s="25"/>
      <c r="M19" s="11">
        <v>100</v>
      </c>
      <c r="N19" s="11"/>
      <c r="O19" s="11"/>
      <c r="P19" s="7">
        <v>0.06</v>
      </c>
      <c r="Q19" s="7">
        <v>0.04</v>
      </c>
    </row>
    <row r="20" spans="1:17" ht="18.600000000000001" thickBot="1" x14ac:dyDescent="0.5">
      <c r="A20" s="26"/>
      <c r="B20" s="27" t="s">
        <v>13</v>
      </c>
      <c r="C20" s="27"/>
      <c r="D20" s="27"/>
      <c r="E20" s="28">
        <f>SUM(E3:E18)</f>
        <v>2049</v>
      </c>
      <c r="F20" s="27"/>
      <c r="G20" s="28">
        <f>SUM(G3:G18)</f>
        <v>4971310</v>
      </c>
      <c r="H20" s="28">
        <f t="shared" ref="H20:I20" si="8">SUM(H3:H18)</f>
        <v>247370</v>
      </c>
      <c r="I20" s="28">
        <f t="shared" si="8"/>
        <v>4723940</v>
      </c>
      <c r="J20" s="27"/>
      <c r="K20" s="29"/>
      <c r="M20" s="11">
        <v>150</v>
      </c>
      <c r="N20" s="11"/>
      <c r="O20" s="11"/>
      <c r="P20" s="7">
        <v>7.0000000000000007E-2</v>
      </c>
      <c r="Q20" s="7">
        <v>0.05</v>
      </c>
    </row>
    <row r="22" spans="1:17" ht="18.600000000000001" thickBot="1" x14ac:dyDescent="0.5">
      <c r="A22" s="14" t="s">
        <v>41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7" x14ac:dyDescent="0.45">
      <c r="A23" s="20" t="s">
        <v>1</v>
      </c>
      <c r="B23" s="21" t="s">
        <v>2</v>
      </c>
      <c r="C23" s="21" t="s">
        <v>3</v>
      </c>
      <c r="D23" s="21" t="s">
        <v>4</v>
      </c>
      <c r="E23" s="21" t="s">
        <v>5</v>
      </c>
      <c r="F23" s="21" t="s">
        <v>6</v>
      </c>
      <c r="G23" s="21" t="s">
        <v>7</v>
      </c>
      <c r="H23" s="21" t="s">
        <v>9</v>
      </c>
      <c r="I23" s="21" t="s">
        <v>10</v>
      </c>
      <c r="J23" s="21" t="s">
        <v>11</v>
      </c>
      <c r="K23" s="22" t="s">
        <v>12</v>
      </c>
      <c r="L23" s="5"/>
      <c r="M23" s="6" t="s">
        <v>36</v>
      </c>
      <c r="N23" s="6" t="s">
        <v>36</v>
      </c>
      <c r="O23" s="6" t="s">
        <v>36</v>
      </c>
      <c r="P23" s="6" t="s">
        <v>36</v>
      </c>
    </row>
    <row r="24" spans="1:17" x14ac:dyDescent="0.45">
      <c r="A24" s="23">
        <v>12</v>
      </c>
      <c r="B24" s="2" t="str">
        <f>VLOOKUP(A24,$M$4:$N$7,2,0)</f>
        <v>川岸販売</v>
      </c>
      <c r="C24" s="2">
        <v>101</v>
      </c>
      <c r="D24" s="2" t="str">
        <f>VLOOKUP(C24,$P$4:$R$7,2,0)</f>
        <v>A商品</v>
      </c>
      <c r="E24" s="2">
        <v>100</v>
      </c>
      <c r="F24" s="3">
        <f>ROUNDDOWN(VLOOKUP(C24,$P$4:$R$7,3,0)*1.3,-1)</f>
        <v>1560</v>
      </c>
      <c r="G24" s="3">
        <f>F24*E24</f>
        <v>156000</v>
      </c>
      <c r="H24" s="3">
        <f>ROUNDUP(G24*VLOOKUP(E24,$M$18:$Q$20,INT(C24/100)+3,1),-1)</f>
        <v>9360</v>
      </c>
      <c r="I24" s="3">
        <f>G24-H24</f>
        <v>146640</v>
      </c>
      <c r="J24" s="2">
        <f>RANK(I24,$I$3:$I$18,0)</f>
        <v>13</v>
      </c>
      <c r="K24" s="24" t="str">
        <f>IF(AND(E24&gt;=100,I24&lt;300000),"*","")</f>
        <v>*</v>
      </c>
      <c r="L24" s="30"/>
      <c r="M24" s="6" t="s">
        <v>37</v>
      </c>
      <c r="N24" s="6" t="s">
        <v>38</v>
      </c>
      <c r="O24" s="6" t="s">
        <v>39</v>
      </c>
      <c r="P24" s="6" t="s">
        <v>40</v>
      </c>
    </row>
    <row r="25" spans="1:17" x14ac:dyDescent="0.45">
      <c r="A25" s="23">
        <v>12</v>
      </c>
      <c r="B25" s="2" t="str">
        <f>VLOOKUP(A25,$M$4:$N$7,2,0)</f>
        <v>川岸販売</v>
      </c>
      <c r="C25" s="2">
        <v>202</v>
      </c>
      <c r="D25" s="2" t="str">
        <f>VLOOKUP(C25,$P$4:$R$7,2,0)</f>
        <v>D商品</v>
      </c>
      <c r="E25" s="2">
        <v>99</v>
      </c>
      <c r="F25" s="3">
        <f>ROUNDDOWN(VLOOKUP(C25,$P$4:$R$7,3,0)*1.3,-1)</f>
        <v>3000</v>
      </c>
      <c r="G25" s="3">
        <f>F25*E25</f>
        <v>297000</v>
      </c>
      <c r="H25" s="3">
        <f>ROUNDUP(G25*VLOOKUP(E25,$M$18:$Q$20,INT(C25/100)+3,1),-1)</f>
        <v>8910</v>
      </c>
      <c r="I25" s="3">
        <f>G25-H25</f>
        <v>288090</v>
      </c>
      <c r="J25" s="2">
        <f>RANK(I25,$I$3:$I$18,0)</f>
        <v>7</v>
      </c>
      <c r="K25" s="24" t="str">
        <f>IF(AND(E25&gt;=100,I25&lt;300000),"*","")</f>
        <v/>
      </c>
      <c r="L25" s="30"/>
      <c r="M25" s="8"/>
    </row>
    <row r="26" spans="1:17" x14ac:dyDescent="0.45">
      <c r="A26" s="23">
        <v>14</v>
      </c>
      <c r="B26" s="2" t="str">
        <f>VLOOKUP(A26,$M$4:$N$7,2,0)</f>
        <v>十字本店</v>
      </c>
      <c r="C26" s="2">
        <v>101</v>
      </c>
      <c r="D26" s="2" t="str">
        <f>VLOOKUP(C26,$P$4:$R$7,2,0)</f>
        <v>A商品</v>
      </c>
      <c r="E26" s="2">
        <v>82</v>
      </c>
      <c r="F26" s="3">
        <f>ROUNDDOWN(VLOOKUP(C26,$P$4:$R$7,3,0)*1.3,-1)</f>
        <v>1560</v>
      </c>
      <c r="G26" s="3">
        <f>F26*E26</f>
        <v>127920</v>
      </c>
      <c r="H26" s="3">
        <f>ROUNDUP(G26*VLOOKUP(E26,$M$18:$Q$20,INT(C26/100)+3,1),-1)</f>
        <v>6400</v>
      </c>
      <c r="I26" s="3">
        <f>G26-H26</f>
        <v>121520</v>
      </c>
      <c r="J26" s="2">
        <f>RANK(I26,$I$3:$I$18,0)</f>
        <v>15</v>
      </c>
      <c r="K26" s="24" t="str">
        <f>IF(AND(E26&gt;=100,I26&lt;300000),"*","")</f>
        <v/>
      </c>
      <c r="M26" s="6" t="s">
        <v>42</v>
      </c>
      <c r="N26" s="6" t="s">
        <v>42</v>
      </c>
      <c r="O26" s="6" t="s">
        <v>48</v>
      </c>
      <c r="P26" s="6" t="s">
        <v>45</v>
      </c>
      <c r="Q26" s="6" t="s">
        <v>50</v>
      </c>
    </row>
    <row r="27" spans="1:17" x14ac:dyDescent="0.45">
      <c r="A27" s="23">
        <v>13</v>
      </c>
      <c r="B27" s="2" t="str">
        <f>VLOOKUP(A27,$M$4:$N$7,2,0)</f>
        <v>シロイシ</v>
      </c>
      <c r="C27" s="2">
        <v>101</v>
      </c>
      <c r="D27" s="2" t="str">
        <f>VLOOKUP(C27,$P$4:$R$7,2,0)</f>
        <v>A商品</v>
      </c>
      <c r="E27" s="2">
        <v>76</v>
      </c>
      <c r="F27" s="3">
        <f>ROUNDDOWN(VLOOKUP(C27,$P$4:$R$7,3,0)*1.3,-1)</f>
        <v>1560</v>
      </c>
      <c r="G27" s="3">
        <f>F27*E27</f>
        <v>118560</v>
      </c>
      <c r="H27" s="3">
        <f>ROUNDUP(G27*VLOOKUP(E27,$M$18:$Q$20,INT(C27/100)+3,1),-1)</f>
        <v>5930</v>
      </c>
      <c r="I27" s="3">
        <f>G27-H27</f>
        <v>112630</v>
      </c>
      <c r="J27" s="2">
        <f>RANK(I27,$I$3:$I$18,0)</f>
        <v>16</v>
      </c>
      <c r="K27" s="24" t="str">
        <f>IF(AND(E27&gt;=100,I27&lt;300000),"*","")</f>
        <v/>
      </c>
      <c r="M27" s="6" t="s">
        <v>43</v>
      </c>
      <c r="N27" s="6" t="s">
        <v>44</v>
      </c>
      <c r="O27" s="6" t="s">
        <v>46</v>
      </c>
      <c r="P27" s="6" t="s">
        <v>47</v>
      </c>
      <c r="Q27" s="6" t="s">
        <v>49</v>
      </c>
    </row>
    <row r="28" spans="1:17" x14ac:dyDescent="0.45">
      <c r="A28" s="23">
        <v>11</v>
      </c>
      <c r="B28" s="2" t="str">
        <f>VLOOKUP(A28,$M$4:$N$7,2,0)</f>
        <v>黒丸商店</v>
      </c>
      <c r="C28" s="2">
        <v>102</v>
      </c>
      <c r="D28" s="2" t="str">
        <f>VLOOKUP(C28,$P$4:$R$7,2,0)</f>
        <v>B商品</v>
      </c>
      <c r="E28" s="2">
        <v>69</v>
      </c>
      <c r="F28" s="3">
        <f>ROUNDDOWN(VLOOKUP(C28,$P$4:$R$7,3,0)*1.3,-1)</f>
        <v>2170</v>
      </c>
      <c r="G28" s="3">
        <f>F28*E28</f>
        <v>149730</v>
      </c>
      <c r="H28" s="3">
        <f>ROUNDUP(G28*VLOOKUP(E28,$M$18:$Q$20,INT(C28/100)+3,1),-1)</f>
        <v>7490</v>
      </c>
      <c r="I28" s="3">
        <f>G28-H28</f>
        <v>142240</v>
      </c>
      <c r="J28" s="2">
        <f>RANK(I28,$I$3:$I$18,0)</f>
        <v>14</v>
      </c>
      <c r="K28" s="24" t="str">
        <f>IF(AND(E28&gt;=100,I28&lt;300000),"*","")</f>
        <v/>
      </c>
    </row>
    <row r="29" spans="1:17" x14ac:dyDescent="0.45">
      <c r="A29" s="23"/>
      <c r="B29" s="2"/>
      <c r="C29" s="2"/>
      <c r="D29" s="2"/>
      <c r="E29" s="2"/>
      <c r="F29" s="2"/>
      <c r="G29" s="2"/>
      <c r="H29" s="2"/>
      <c r="I29" s="2"/>
      <c r="J29" s="2"/>
      <c r="K29" s="25"/>
    </row>
    <row r="30" spans="1:17" ht="18.600000000000001" thickBot="1" x14ac:dyDescent="0.5">
      <c r="A30" s="26"/>
      <c r="B30" s="27" t="s">
        <v>13</v>
      </c>
      <c r="C30" s="27"/>
      <c r="D30" s="27"/>
      <c r="E30" s="28">
        <f>SUM(E24:E28)</f>
        <v>426</v>
      </c>
      <c r="F30" s="27"/>
      <c r="G30" s="28">
        <f>SUM(G24:G28)</f>
        <v>849210</v>
      </c>
      <c r="H30" s="28">
        <f>SUM(H24:H28)</f>
        <v>38090</v>
      </c>
      <c r="I30" s="28">
        <f>SUM(I24:I28)</f>
        <v>811120</v>
      </c>
      <c r="J30" s="27"/>
      <c r="K30" s="29"/>
    </row>
    <row r="31" spans="1:17" ht="18.600000000000001" thickBot="1" x14ac:dyDescent="0.5">
      <c r="A31" s="14" t="s">
        <v>14</v>
      </c>
      <c r="B31" s="14"/>
      <c r="C31" s="14"/>
      <c r="D31" s="14"/>
    </row>
    <row r="32" spans="1:17" x14ac:dyDescent="0.45">
      <c r="A32" s="20" t="s">
        <v>19</v>
      </c>
      <c r="B32" s="21" t="s">
        <v>5</v>
      </c>
      <c r="C32" s="21" t="s">
        <v>9</v>
      </c>
      <c r="D32" s="22" t="s">
        <v>8</v>
      </c>
      <c r="F32" s="34" t="s">
        <v>20</v>
      </c>
      <c r="G32" s="35"/>
      <c r="H32" s="35"/>
      <c r="I32" s="35"/>
      <c r="J32" s="36"/>
      <c r="K32" s="37">
        <f>DSUM($A$2:$K$18,8,$M$26:$N$27)</f>
        <v>52020</v>
      </c>
    </row>
    <row r="33" spans="1:11" x14ac:dyDescent="0.45">
      <c r="A33" s="23" t="s">
        <v>15</v>
      </c>
      <c r="B33" s="3">
        <f>DSUM($A$2:$K$18,5,$M$23:$M$24)</f>
        <v>453</v>
      </c>
      <c r="C33" s="3">
        <f>DSUM($A$2:$K$18,8,$M$23:$M$24)</f>
        <v>42990</v>
      </c>
      <c r="D33" s="31">
        <f>DSUM($A$2:$K$18,9,$M$23:$M$24)</f>
        <v>663690</v>
      </c>
      <c r="F33" s="38" t="s">
        <v>21</v>
      </c>
      <c r="G33" s="9"/>
      <c r="H33" s="9"/>
      <c r="I33" s="9"/>
      <c r="J33" s="10"/>
      <c r="K33" s="39">
        <f>DCOUNT($A$2:$K$18,5,$O$26:$P$27)</f>
        <v>6</v>
      </c>
    </row>
    <row r="34" spans="1:11" ht="18.600000000000001" thickBot="1" x14ac:dyDescent="0.5">
      <c r="A34" s="23" t="s">
        <v>16</v>
      </c>
      <c r="B34" s="3">
        <f>DSUM($A$2:$K$18,5,$N$23:$N$24)</f>
        <v>523</v>
      </c>
      <c r="C34" s="3">
        <f>DSUM($A$2:$K$18,8,$N$23:$N$24)</f>
        <v>71020</v>
      </c>
      <c r="D34" s="31">
        <f>DSUM($A$2:$K$18,9,$N$23:$N$24)</f>
        <v>1063890</v>
      </c>
      <c r="F34" s="40" t="s">
        <v>22</v>
      </c>
      <c r="G34" s="41"/>
      <c r="H34" s="41"/>
      <c r="I34" s="41"/>
      <c r="J34" s="42"/>
      <c r="K34" s="43">
        <f>ROUND(DAVERAGE($A$2:$K$18,7,$Q$26:$Q$27),0)</f>
        <v>289506</v>
      </c>
    </row>
    <row r="35" spans="1:11" ht="18.600000000000001" thickBot="1" x14ac:dyDescent="0.5">
      <c r="A35" s="23" t="s">
        <v>17</v>
      </c>
      <c r="B35" s="3">
        <f>DSUM($A$2:$K$18,5,$O$23:$O$24)</f>
        <v>496</v>
      </c>
      <c r="C35" s="3">
        <f>DSUM($A$2:$K$18,8,$O$23:$O$24)</f>
        <v>56650</v>
      </c>
      <c r="D35" s="31">
        <f>DSUM($A$2:$K$18,9,$O$23:$O$24)</f>
        <v>1342070</v>
      </c>
      <c r="F35" t="s">
        <v>51</v>
      </c>
    </row>
    <row r="36" spans="1:11" ht="18.600000000000001" thickBot="1" x14ac:dyDescent="0.5">
      <c r="A36" s="32" t="s">
        <v>18</v>
      </c>
      <c r="B36" s="28">
        <f>DSUM($A$2:$K$18,5,$P$23:$P$24)</f>
        <v>577</v>
      </c>
      <c r="C36" s="28">
        <f>DSUM($A$2:$K$18,8,$P$23:$P$24)</f>
        <v>76710</v>
      </c>
      <c r="D36" s="33">
        <f>DSUM($A$2:$K$18,9,$P$23:$P$24)</f>
        <v>1654290</v>
      </c>
      <c r="F36" s="34" t="s">
        <v>20</v>
      </c>
      <c r="G36" s="35"/>
      <c r="H36" s="35"/>
      <c r="I36" s="35"/>
      <c r="J36" s="36"/>
      <c r="K36" s="37">
        <f>SUMIFS($H$3:$H$18,$G$3:$G$18,"&gt;=300000",$G$3:$G$18,"&lt;400000")</f>
        <v>52020</v>
      </c>
    </row>
    <row r="37" spans="1:11" ht="18.600000000000001" thickBot="1" x14ac:dyDescent="0.5">
      <c r="A37" s="44" t="s">
        <v>51</v>
      </c>
      <c r="F37" s="38" t="s">
        <v>21</v>
      </c>
      <c r="G37" s="9"/>
      <c r="H37" s="9"/>
      <c r="I37" s="9"/>
      <c r="J37" s="10"/>
      <c r="K37" s="39">
        <f>COUNTIFS($E$3:$E$18,"&lt;=150",$I$3:$I$18,"&gt;=200000")</f>
        <v>6</v>
      </c>
    </row>
    <row r="38" spans="1:11" ht="18.600000000000001" thickBot="1" x14ac:dyDescent="0.5">
      <c r="A38" s="20" t="s">
        <v>19</v>
      </c>
      <c r="B38" s="21" t="s">
        <v>5</v>
      </c>
      <c r="C38" s="21" t="s">
        <v>9</v>
      </c>
      <c r="D38" s="22" t="s">
        <v>8</v>
      </c>
      <c r="F38" s="40" t="s">
        <v>22</v>
      </c>
      <c r="G38" s="41"/>
      <c r="H38" s="41"/>
      <c r="I38" s="41"/>
      <c r="J38" s="42"/>
      <c r="K38" s="43">
        <f>ROUND(AVERAGEIF($B$3:$B$18,"&lt;&gt;シロイシ",$G$3:$G$18),0)</f>
        <v>289506</v>
      </c>
    </row>
    <row r="39" spans="1:11" x14ac:dyDescent="0.45">
      <c r="A39" s="23" t="s">
        <v>15</v>
      </c>
      <c r="B39" s="3">
        <f>SUMIF($D$3:$D$18,$A39,E$3:E$18)</f>
        <v>453</v>
      </c>
      <c r="C39" s="3">
        <f>SUMIF($D$3:$D$18,$A39,H$3:H$18)</f>
        <v>42990</v>
      </c>
      <c r="D39" s="31">
        <f>SUMIF($D$3:$D$18,$A39,I$3:I$18)</f>
        <v>663690</v>
      </c>
    </row>
    <row r="40" spans="1:11" ht="18" customHeight="1" x14ac:dyDescent="0.45">
      <c r="A40" s="23" t="s">
        <v>16</v>
      </c>
      <c r="B40" s="3">
        <f t="shared" ref="B40:B42" si="9">SUMIF($D$3:$D$18,$A40,E$3:E$18)</f>
        <v>523</v>
      </c>
      <c r="C40" s="3">
        <f t="shared" ref="C40:C42" si="10">SUMIF($D$3:$D$18,$A40,H$3:H$18)</f>
        <v>71020</v>
      </c>
      <c r="D40" s="31">
        <f t="shared" ref="D40:D42" si="11">SUMIF($D$3:$D$18,$A40,I$3:I$18)</f>
        <v>1063890</v>
      </c>
      <c r="F40" s="45" t="s">
        <v>53</v>
      </c>
      <c r="G40" s="45"/>
      <c r="H40" s="45"/>
      <c r="I40" s="45"/>
      <c r="J40" s="45"/>
      <c r="K40" s="45"/>
    </row>
    <row r="41" spans="1:11" x14ac:dyDescent="0.45">
      <c r="A41" s="23" t="s">
        <v>17</v>
      </c>
      <c r="B41" s="3">
        <f t="shared" si="9"/>
        <v>496</v>
      </c>
      <c r="C41" s="3">
        <f t="shared" si="10"/>
        <v>56650</v>
      </c>
      <c r="D41" s="31">
        <f t="shared" si="11"/>
        <v>1342070</v>
      </c>
      <c r="F41" s="45"/>
      <c r="G41" s="45"/>
      <c r="H41" s="45"/>
      <c r="I41" s="45"/>
      <c r="J41" s="45"/>
      <c r="K41" s="45"/>
    </row>
    <row r="42" spans="1:11" ht="18.600000000000001" thickBot="1" x14ac:dyDescent="0.5">
      <c r="A42" s="32" t="s">
        <v>18</v>
      </c>
      <c r="B42" s="28">
        <f t="shared" si="9"/>
        <v>577</v>
      </c>
      <c r="C42" s="28">
        <f t="shared" si="10"/>
        <v>76710</v>
      </c>
      <c r="D42" s="33">
        <f t="shared" si="11"/>
        <v>1654290</v>
      </c>
      <c r="F42" s="45"/>
      <c r="G42" s="45"/>
      <c r="H42" s="45"/>
      <c r="I42" s="45"/>
      <c r="J42" s="45"/>
      <c r="K42" s="45"/>
    </row>
    <row r="43" spans="1:11" x14ac:dyDescent="0.45">
      <c r="F43" s="47"/>
      <c r="G43" s="47"/>
      <c r="H43" s="47"/>
      <c r="I43" s="47"/>
      <c r="J43" s="47"/>
      <c r="K43" s="47"/>
    </row>
    <row r="44" spans="1:11" x14ac:dyDescent="0.45">
      <c r="A44" s="45" t="s">
        <v>52</v>
      </c>
      <c r="B44" s="46"/>
      <c r="C44" s="46"/>
      <c r="D44" s="46"/>
    </row>
    <row r="45" spans="1:11" x14ac:dyDescent="0.45">
      <c r="A45" s="46"/>
      <c r="B45" s="46"/>
      <c r="C45" s="46"/>
      <c r="D45" s="46"/>
    </row>
    <row r="46" spans="1:11" x14ac:dyDescent="0.45">
      <c r="A46" s="46"/>
      <c r="B46" s="46"/>
      <c r="C46" s="46"/>
      <c r="D46" s="46"/>
    </row>
  </sheetData>
  <sortState xmlns:xlrd2="http://schemas.microsoft.com/office/spreadsheetml/2017/richdata2" ref="A24:K28">
    <sortCondition descending="1" ref="E24:E28"/>
  </sortState>
  <mergeCells count="25">
    <mergeCell ref="F36:J36"/>
    <mergeCell ref="F37:J37"/>
    <mergeCell ref="F38:J38"/>
    <mergeCell ref="A44:D46"/>
    <mergeCell ref="F40:K42"/>
    <mergeCell ref="A1:K1"/>
    <mergeCell ref="A31:D31"/>
    <mergeCell ref="A22:K22"/>
    <mergeCell ref="P2:R2"/>
    <mergeCell ref="M12:O12"/>
    <mergeCell ref="M13:O13"/>
    <mergeCell ref="M14:O14"/>
    <mergeCell ref="M10:O11"/>
    <mergeCell ref="P10:Q10"/>
    <mergeCell ref="M2:N2"/>
    <mergeCell ref="M9:Q9"/>
    <mergeCell ref="F32:J32"/>
    <mergeCell ref="F33:J33"/>
    <mergeCell ref="F34:J34"/>
    <mergeCell ref="M18:O18"/>
    <mergeCell ref="M15:Q15"/>
    <mergeCell ref="M16:O17"/>
    <mergeCell ref="P16:Q16"/>
    <mergeCell ref="M19:O19"/>
    <mergeCell ref="M20:O20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2020-04-25T10:46:19Z</dcterms:created>
  <dcterms:modified xsi:type="dcterms:W3CDTF">2020-04-26T22:31:20Z</dcterms:modified>
</cp:coreProperties>
</file>