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erk\Documents\D\ホームページビルダー\kentei\"/>
    </mc:Choice>
  </mc:AlternateContent>
  <xr:revisionPtr revIDLastSave="0" documentId="13_ncr:1_{67680AC4-2481-4B27-8B53-E21897330BCE}" xr6:coauthVersionLast="45" xr6:coauthVersionMax="45" xr10:uidLastSave="{00000000-0000-0000-0000-000000000000}"/>
  <bookViews>
    <workbookView xWindow="-108" yWindow="-108" windowWidth="23256" windowHeight="12576" xr2:uid="{ABAD90CE-975D-494C-914E-16C0353AE71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2" i="1" l="1"/>
  <c r="C33" i="1"/>
  <c r="C34" i="1"/>
  <c r="C31" i="1"/>
  <c r="B32" i="1"/>
  <c r="B33" i="1"/>
  <c r="B34" i="1"/>
  <c r="B31" i="1"/>
  <c r="C28" i="1"/>
  <c r="C27" i="1"/>
  <c r="C26" i="1"/>
  <c r="C25" i="1"/>
  <c r="B28" i="1"/>
  <c r="B27" i="1"/>
  <c r="B26" i="1"/>
  <c r="B25" i="1"/>
  <c r="I13" i="1" l="1"/>
  <c r="I14" i="1"/>
  <c r="I15" i="1"/>
  <c r="I16" i="1"/>
  <c r="I17" i="1"/>
  <c r="I18" i="1"/>
  <c r="I19" i="1"/>
  <c r="I12" i="1"/>
  <c r="F17" i="1"/>
  <c r="G17" i="1" s="1"/>
  <c r="F18" i="1"/>
  <c r="F13" i="1"/>
  <c r="F4" i="1"/>
  <c r="H4" i="1" s="1"/>
  <c r="F5" i="1"/>
  <c r="F6" i="1"/>
  <c r="F3" i="1"/>
  <c r="G4" i="1"/>
  <c r="G5" i="1"/>
  <c r="H5" i="1" s="1"/>
  <c r="E16" i="1"/>
  <c r="E14" i="1"/>
  <c r="E18" i="1"/>
  <c r="E19" i="1"/>
  <c r="E12" i="1"/>
  <c r="E17" i="1"/>
  <c r="E13" i="1"/>
  <c r="E15" i="1"/>
  <c r="D21" i="1"/>
  <c r="D8" i="1"/>
  <c r="E4" i="1"/>
  <c r="E5" i="1"/>
  <c r="E6" i="1"/>
  <c r="E8" i="1" s="1"/>
  <c r="E3" i="1"/>
  <c r="B19" i="1"/>
  <c r="B12" i="1"/>
  <c r="B17" i="1"/>
  <c r="B13" i="1"/>
  <c r="B18" i="1"/>
  <c r="B14" i="1"/>
  <c r="B16" i="1"/>
  <c r="B15" i="1"/>
  <c r="B4" i="1"/>
  <c r="B5" i="1"/>
  <c r="B6" i="1"/>
  <c r="B3" i="1"/>
  <c r="H13" i="1" l="1"/>
  <c r="H17" i="1"/>
  <c r="F16" i="1"/>
  <c r="H16" i="1" s="1"/>
  <c r="F15" i="1"/>
  <c r="G13" i="1"/>
  <c r="F14" i="1"/>
  <c r="G14" i="1" s="1"/>
  <c r="F12" i="1"/>
  <c r="G12" i="1" s="1"/>
  <c r="F19" i="1"/>
  <c r="G19" i="1" s="1"/>
  <c r="G3" i="1"/>
  <c r="H3" i="1" s="1"/>
  <c r="G18" i="1"/>
  <c r="E21" i="1"/>
  <c r="G16" i="1"/>
  <c r="H14" i="1" l="1"/>
  <c r="H15" i="1"/>
  <c r="G15" i="1"/>
  <c r="H12" i="1"/>
  <c r="F21" i="1"/>
  <c r="H18" i="1"/>
  <c r="H19" i="1"/>
  <c r="G21" i="1"/>
  <c r="G6" i="1"/>
  <c r="G8" i="1" s="1"/>
  <c r="F8" i="1"/>
  <c r="H21" i="1" l="1"/>
  <c r="H6" i="1"/>
  <c r="H8" i="1" s="1"/>
</calcChain>
</file>

<file path=xl/sharedStrings.xml><?xml version="1.0" encoding="utf-8"?>
<sst xmlns="http://schemas.openxmlformats.org/spreadsheetml/2006/main" count="69" uniqueCount="38">
  <si>
    <t>株式買入一覧表</t>
    <rPh sb="0" eb="2">
      <t>カブシキ</t>
    </rPh>
    <rPh sb="2" eb="4">
      <t>カイイレ</t>
    </rPh>
    <rPh sb="4" eb="6">
      <t>イチラン</t>
    </rPh>
    <rPh sb="6" eb="7">
      <t>ヒョウ</t>
    </rPh>
    <phoneticPr fontId="1"/>
  </si>
  <si>
    <t>CO</t>
    <phoneticPr fontId="1"/>
  </si>
  <si>
    <t>銘柄</t>
    <rPh sb="0" eb="2">
      <t>メイガラ</t>
    </rPh>
    <phoneticPr fontId="1"/>
  </si>
  <si>
    <t>株価</t>
    <rPh sb="0" eb="2">
      <t>カブカ</t>
    </rPh>
    <phoneticPr fontId="1"/>
  </si>
  <si>
    <t>株数</t>
    <rPh sb="0" eb="2">
      <t>カブスウ</t>
    </rPh>
    <phoneticPr fontId="1"/>
  </si>
  <si>
    <t>約定金額</t>
    <rPh sb="0" eb="2">
      <t>ヤクテイ</t>
    </rPh>
    <rPh sb="2" eb="4">
      <t>キンガク</t>
    </rPh>
    <phoneticPr fontId="1"/>
  </si>
  <si>
    <t>買入手数料</t>
    <rPh sb="0" eb="2">
      <t>カイイレ</t>
    </rPh>
    <rPh sb="2" eb="5">
      <t>テスウリョウ</t>
    </rPh>
    <phoneticPr fontId="1"/>
  </si>
  <si>
    <t>割引額</t>
    <rPh sb="0" eb="3">
      <t>ワリビキガク</t>
    </rPh>
    <phoneticPr fontId="1"/>
  </si>
  <si>
    <t>支払金額</t>
    <rPh sb="0" eb="2">
      <t>シハライ</t>
    </rPh>
    <rPh sb="2" eb="4">
      <t>キンガク</t>
    </rPh>
    <phoneticPr fontId="1"/>
  </si>
  <si>
    <t>合計</t>
    <rPh sb="0" eb="2">
      <t>ゴウケイ</t>
    </rPh>
    <phoneticPr fontId="1"/>
  </si>
  <si>
    <t>株式売却一覧表</t>
    <rPh sb="0" eb="2">
      <t>カブシキ</t>
    </rPh>
    <rPh sb="2" eb="4">
      <t>バイキャク</t>
    </rPh>
    <rPh sb="4" eb="6">
      <t>イチラン</t>
    </rPh>
    <rPh sb="6" eb="7">
      <t>ヒョウ</t>
    </rPh>
    <phoneticPr fontId="1"/>
  </si>
  <si>
    <t>売却手数料</t>
    <rPh sb="0" eb="2">
      <t>バイキャク</t>
    </rPh>
    <rPh sb="2" eb="5">
      <t>テスウリョウ</t>
    </rPh>
    <phoneticPr fontId="1"/>
  </si>
  <si>
    <t>受取金額</t>
    <rPh sb="0" eb="2">
      <t>ウケトリ</t>
    </rPh>
    <rPh sb="2" eb="4">
      <t>キンガク</t>
    </rPh>
    <phoneticPr fontId="1"/>
  </si>
  <si>
    <t>判定</t>
    <rPh sb="0" eb="2">
      <t>ハンテイ</t>
    </rPh>
    <phoneticPr fontId="1"/>
  </si>
  <si>
    <t>銘柄別集計表</t>
    <rPh sb="0" eb="2">
      <t>メイガラ</t>
    </rPh>
    <rPh sb="2" eb="3">
      <t>ベツ</t>
    </rPh>
    <rPh sb="3" eb="5">
      <t>シュウケイ</t>
    </rPh>
    <rPh sb="5" eb="6">
      <t>ヒョウ</t>
    </rPh>
    <phoneticPr fontId="1"/>
  </si>
  <si>
    <t>太平水産</t>
    <rPh sb="0" eb="2">
      <t>タイヘイ</t>
    </rPh>
    <rPh sb="2" eb="4">
      <t>スイサン</t>
    </rPh>
    <phoneticPr fontId="1"/>
  </si>
  <si>
    <t>朝日工業</t>
    <rPh sb="0" eb="2">
      <t>アサヒ</t>
    </rPh>
    <rPh sb="2" eb="4">
      <t>コウギョウ</t>
    </rPh>
    <phoneticPr fontId="1"/>
  </si>
  <si>
    <t>コスモ銀行</t>
    <rPh sb="3" eb="5">
      <t>ギンコウ</t>
    </rPh>
    <phoneticPr fontId="1"/>
  </si>
  <si>
    <t>ＧＬ証券</t>
    <rPh sb="2" eb="4">
      <t>ショウケン</t>
    </rPh>
    <phoneticPr fontId="1"/>
  </si>
  <si>
    <t>銘柄テーブル</t>
    <rPh sb="0" eb="2">
      <t>メイガラ</t>
    </rPh>
    <phoneticPr fontId="1"/>
  </si>
  <si>
    <t>買入手数料の計算式</t>
    <rPh sb="0" eb="2">
      <t>カイイレ</t>
    </rPh>
    <rPh sb="2" eb="5">
      <t>テスウリョウ</t>
    </rPh>
    <rPh sb="6" eb="9">
      <t>ケイサンシキ</t>
    </rPh>
    <phoneticPr fontId="1"/>
  </si>
  <si>
    <t>360万以上</t>
    <rPh sb="3" eb="4">
      <t>マン</t>
    </rPh>
    <rPh sb="4" eb="6">
      <t>イジョウ</t>
    </rPh>
    <phoneticPr fontId="1"/>
  </si>
  <si>
    <t>それ以外</t>
    <rPh sb="2" eb="4">
      <t>イガイ</t>
    </rPh>
    <phoneticPr fontId="1"/>
  </si>
  <si>
    <t>約定金額×0.76％</t>
    <rPh sb="0" eb="4">
      <t>ヤクテイキンガク</t>
    </rPh>
    <phoneticPr fontId="1"/>
  </si>
  <si>
    <t>約定金額×0.87％</t>
    <rPh sb="0" eb="2">
      <t>ヤクテイ</t>
    </rPh>
    <rPh sb="2" eb="4">
      <t>キンガク</t>
    </rPh>
    <phoneticPr fontId="1"/>
  </si>
  <si>
    <t>売却手数料の計算式</t>
    <rPh sb="0" eb="2">
      <t>バイキャク</t>
    </rPh>
    <rPh sb="2" eb="5">
      <t>テスウリョウ</t>
    </rPh>
    <rPh sb="6" eb="9">
      <t>ケイサンシキ</t>
    </rPh>
    <phoneticPr fontId="1"/>
  </si>
  <si>
    <t>180万以上</t>
    <rPh sb="3" eb="4">
      <t>マン</t>
    </rPh>
    <rPh sb="4" eb="6">
      <t>イジョウ</t>
    </rPh>
    <phoneticPr fontId="1"/>
  </si>
  <si>
    <t>約定金額×0.67％</t>
    <rPh sb="0" eb="4">
      <t>ヤクテイキンガク</t>
    </rPh>
    <phoneticPr fontId="1"/>
  </si>
  <si>
    <t>約定金額×0.78％</t>
    <rPh sb="0" eb="2">
      <t>ヤクテイ</t>
    </rPh>
    <rPh sb="2" eb="4">
      <t>キンガク</t>
    </rPh>
    <phoneticPr fontId="1"/>
  </si>
  <si>
    <t>※買入手数料は整数未満切り捨て</t>
    <rPh sb="1" eb="3">
      <t>カイイレ</t>
    </rPh>
    <rPh sb="3" eb="6">
      <t>テスウリョウ</t>
    </rPh>
    <rPh sb="7" eb="9">
      <t>セイスウ</t>
    </rPh>
    <rPh sb="9" eb="11">
      <t>ミマン</t>
    </rPh>
    <rPh sb="11" eb="12">
      <t>キ</t>
    </rPh>
    <rPh sb="13" eb="14">
      <t>ス</t>
    </rPh>
    <phoneticPr fontId="1"/>
  </si>
  <si>
    <t>※売却手数料は整数未満切り捨て</t>
    <rPh sb="1" eb="3">
      <t>バイキャク</t>
    </rPh>
    <rPh sb="3" eb="6">
      <t>テスウリョウ</t>
    </rPh>
    <rPh sb="7" eb="9">
      <t>セイスウ</t>
    </rPh>
    <rPh sb="9" eb="11">
      <t>ミマン</t>
    </rPh>
    <rPh sb="11" eb="12">
      <t>キ</t>
    </rPh>
    <rPh sb="13" eb="14">
      <t>ス</t>
    </rPh>
    <phoneticPr fontId="1"/>
  </si>
  <si>
    <t>銘柄</t>
    <rPh sb="0" eb="2">
      <t>メイガラ</t>
    </rPh>
    <phoneticPr fontId="1"/>
  </si>
  <si>
    <t>朝日工業</t>
    <rPh sb="0" eb="2">
      <t>アサヒ</t>
    </rPh>
    <rPh sb="2" eb="4">
      <t>コウギョウ</t>
    </rPh>
    <phoneticPr fontId="1"/>
  </si>
  <si>
    <t>太平水産</t>
    <rPh sb="0" eb="2">
      <t>タイヘイ</t>
    </rPh>
    <rPh sb="2" eb="4">
      <t>スイサン</t>
    </rPh>
    <phoneticPr fontId="1"/>
  </si>
  <si>
    <t>コスモ銀行</t>
    <rPh sb="3" eb="5">
      <t>ギンコウ</t>
    </rPh>
    <phoneticPr fontId="1"/>
  </si>
  <si>
    <t>ＧＬ証券</t>
    <rPh sb="2" eb="4">
      <t>ショウケン</t>
    </rPh>
    <phoneticPr fontId="1"/>
  </si>
  <si>
    <t>別解答</t>
    <rPh sb="0" eb="1">
      <t>ベツ</t>
    </rPh>
    <rPh sb="1" eb="3">
      <t>カイトウ</t>
    </rPh>
    <phoneticPr fontId="1"/>
  </si>
  <si>
    <t>本解答はDSUMを用いています。別解答はSUMIFを用いています。</t>
    <rPh sb="0" eb="3">
      <t>ホンカイトウ</t>
    </rPh>
    <rPh sb="9" eb="10">
      <t>モチ</t>
    </rPh>
    <rPh sb="16" eb="17">
      <t>ベツ</t>
    </rPh>
    <rPh sb="17" eb="19">
      <t>カイトウ</t>
    </rPh>
    <rPh sb="26" eb="27">
      <t>モチ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</si>
</sst>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176" fontId="0" fillId="0" borderId="6" xfId="0" applyNumberFormat="1" applyBorder="1">
      <alignment vertical="center"/>
    </xf>
    <xf numFmtId="0" fontId="0" fillId="0" borderId="7" xfId="0" applyBorder="1">
      <alignment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銘柄別の受取金額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Sheet1!$C$24</c:f>
              <c:strCache>
                <c:ptCount val="1"/>
                <c:pt idx="0">
                  <c:v>受取金額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Sheet1!$A$25:$A$28</c:f>
              <c:strCache>
                <c:ptCount val="4"/>
                <c:pt idx="0">
                  <c:v>太平水産</c:v>
                </c:pt>
                <c:pt idx="1">
                  <c:v>朝日工業</c:v>
                </c:pt>
                <c:pt idx="2">
                  <c:v>コスモ銀行</c:v>
                </c:pt>
                <c:pt idx="3">
                  <c:v>ＧＬ証券</c:v>
                </c:pt>
              </c:strCache>
            </c:strRef>
          </c:cat>
          <c:val>
            <c:numRef>
              <c:f>Sheet1!$C$25:$C$28</c:f>
              <c:numCache>
                <c:formatCode>#,##0_ </c:formatCode>
                <c:ptCount val="4"/>
                <c:pt idx="0">
                  <c:v>3466399</c:v>
                </c:pt>
                <c:pt idx="1">
                  <c:v>3817232</c:v>
                </c:pt>
                <c:pt idx="2">
                  <c:v>3721961</c:v>
                </c:pt>
                <c:pt idx="3">
                  <c:v>3531124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D8-486E-B6F7-2C4B1842A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4894864"/>
        <c:axId val="694891912"/>
      </c:barChart>
      <c:catAx>
        <c:axId val="69489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4891912"/>
        <c:crosses val="autoZero"/>
        <c:auto val="1"/>
        <c:lblAlgn val="ctr"/>
        <c:lblOffset val="100"/>
        <c:noMultiLvlLbl val="0"/>
      </c:catAx>
      <c:valAx>
        <c:axId val="694891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489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</xdr:colOff>
      <xdr:row>12</xdr:row>
      <xdr:rowOff>194310</xdr:rowOff>
    </xdr:from>
    <xdr:to>
      <xdr:col>14</xdr:col>
      <xdr:colOff>803910</xdr:colOff>
      <xdr:row>24</xdr:row>
      <xdr:rowOff>179070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B2235C2-F18B-4905-AA26-6751926706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1F6BA-E438-49EB-B8D4-21128A6EAC69}">
  <dimension ref="A1:O34"/>
  <sheetViews>
    <sheetView tabSelected="1" topLeftCell="A4" workbookViewId="0">
      <selection activeCell="K9" sqref="K9"/>
    </sheetView>
  </sheetViews>
  <sheetFormatPr defaultRowHeight="18" x14ac:dyDescent="0.45"/>
  <cols>
    <col min="1" max="2" width="10.3984375" bestFit="1" customWidth="1"/>
    <col min="3" max="3" width="9.8984375" bestFit="1" customWidth="1"/>
    <col min="4" max="4" width="7.3984375" bestFit="1" customWidth="1"/>
    <col min="5" max="5" width="11" bestFit="1" customWidth="1"/>
    <col min="6" max="7" width="10.3984375" bestFit="1" customWidth="1"/>
    <col min="8" max="8" width="11" bestFit="1" customWidth="1"/>
    <col min="9" max="9" width="5" bestFit="1" customWidth="1"/>
    <col min="10" max="10" width="4.69921875" customWidth="1"/>
    <col min="11" max="11" width="4.3984375" bestFit="1" customWidth="1"/>
    <col min="12" max="12" width="10.3984375" bestFit="1" customWidth="1"/>
    <col min="13" max="13" width="4.69921875" customWidth="1"/>
    <col min="14" max="14" width="30" bestFit="1" customWidth="1"/>
    <col min="15" max="15" width="16.19921875" bestFit="1" customWidth="1"/>
  </cols>
  <sheetData>
    <row r="1" spans="1:15" ht="18.600000000000001" thickBot="1" x14ac:dyDescent="0.5">
      <c r="A1" s="5" t="s">
        <v>0</v>
      </c>
      <c r="B1" s="5"/>
      <c r="C1" s="5"/>
      <c r="D1" s="5"/>
      <c r="E1" s="5"/>
      <c r="F1" s="5"/>
      <c r="G1" s="5"/>
      <c r="H1" s="5"/>
    </row>
    <row r="2" spans="1:15" x14ac:dyDescent="0.45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4" t="s">
        <v>8</v>
      </c>
      <c r="K2" s="6" t="s">
        <v>19</v>
      </c>
      <c r="L2" s="6"/>
      <c r="N2" s="7" t="s">
        <v>20</v>
      </c>
      <c r="O2" s="7"/>
    </row>
    <row r="3" spans="1:15" x14ac:dyDescent="0.45">
      <c r="A3" s="15">
        <v>101</v>
      </c>
      <c r="B3" s="2" t="str">
        <f>VLOOKUP(A3,$K$4:$L$7,2)</f>
        <v>太平水産</v>
      </c>
      <c r="C3" s="3">
        <v>852</v>
      </c>
      <c r="D3" s="3">
        <v>4000</v>
      </c>
      <c r="E3" s="3">
        <f>C3*D3</f>
        <v>3408000</v>
      </c>
      <c r="F3" s="3">
        <f>ROUNDDOWN(IF(E3&gt;=3600000,E3*0.76%,E3*0.87%),0)</f>
        <v>29649</v>
      </c>
      <c r="G3" s="3">
        <f>ROUNDUP(F3*7.4%,0)</f>
        <v>2195</v>
      </c>
      <c r="H3" s="16">
        <f>E3+F3-G3</f>
        <v>3435454</v>
      </c>
      <c r="K3" s="1" t="s">
        <v>1</v>
      </c>
      <c r="L3" s="1" t="s">
        <v>2</v>
      </c>
      <c r="N3" s="1" t="s">
        <v>5</v>
      </c>
      <c r="O3" s="1" t="s">
        <v>6</v>
      </c>
    </row>
    <row r="4" spans="1:15" x14ac:dyDescent="0.45">
      <c r="A4" s="15">
        <v>102</v>
      </c>
      <c r="B4" s="2" t="str">
        <f t="shared" ref="B4:B6" si="0">VLOOKUP(A4,$K$4:$L$7,2)</f>
        <v>朝日工業</v>
      </c>
      <c r="C4" s="3">
        <v>4180</v>
      </c>
      <c r="D4" s="3">
        <v>900</v>
      </c>
      <c r="E4" s="3">
        <f t="shared" ref="E4:E6" si="1">C4*D4</f>
        <v>3762000</v>
      </c>
      <c r="F4" s="3">
        <f t="shared" ref="F4:F6" si="2">ROUNDDOWN(IF(E4&gt;=3600000,E4*0.76%,E4*0.87%),0)</f>
        <v>28591</v>
      </c>
      <c r="G4" s="3">
        <f t="shared" ref="G4:G6" si="3">ROUNDUP(F4*7.4%,0)</f>
        <v>2116</v>
      </c>
      <c r="H4" s="16">
        <f t="shared" ref="H4:H6" si="4">E4+F4-G4</f>
        <v>3788475</v>
      </c>
      <c r="K4" s="2">
        <v>101</v>
      </c>
      <c r="L4" s="2" t="s">
        <v>15</v>
      </c>
      <c r="N4" s="2" t="s">
        <v>21</v>
      </c>
      <c r="O4" s="2" t="s">
        <v>23</v>
      </c>
    </row>
    <row r="5" spans="1:15" x14ac:dyDescent="0.45">
      <c r="A5" s="15">
        <v>103</v>
      </c>
      <c r="B5" s="2" t="str">
        <f t="shared" si="0"/>
        <v>コスモ銀行</v>
      </c>
      <c r="C5" s="3">
        <v>720</v>
      </c>
      <c r="D5" s="3">
        <v>5000</v>
      </c>
      <c r="E5" s="3">
        <f t="shared" si="1"/>
        <v>3600000</v>
      </c>
      <c r="F5" s="3">
        <f t="shared" si="2"/>
        <v>27360</v>
      </c>
      <c r="G5" s="3">
        <f t="shared" si="3"/>
        <v>2025</v>
      </c>
      <c r="H5" s="16">
        <f t="shared" si="4"/>
        <v>3625335</v>
      </c>
      <c r="K5" s="2">
        <v>102</v>
      </c>
      <c r="L5" s="2" t="s">
        <v>16</v>
      </c>
      <c r="N5" s="2" t="s">
        <v>22</v>
      </c>
      <c r="O5" s="2" t="s">
        <v>24</v>
      </c>
    </row>
    <row r="6" spans="1:15" x14ac:dyDescent="0.45">
      <c r="A6" s="15">
        <v>104</v>
      </c>
      <c r="B6" s="2" t="str">
        <f t="shared" si="0"/>
        <v>ＧＬ証券</v>
      </c>
      <c r="C6" s="3">
        <v>5060</v>
      </c>
      <c r="D6" s="3">
        <v>700</v>
      </c>
      <c r="E6" s="3">
        <f t="shared" si="1"/>
        <v>3542000</v>
      </c>
      <c r="F6" s="3">
        <f t="shared" si="2"/>
        <v>30815</v>
      </c>
      <c r="G6" s="3">
        <f t="shared" si="3"/>
        <v>2281</v>
      </c>
      <c r="H6" s="16">
        <f t="shared" si="4"/>
        <v>3570534</v>
      </c>
      <c r="K6" s="2">
        <v>103</v>
      </c>
      <c r="L6" s="2" t="s">
        <v>17</v>
      </c>
      <c r="N6" s="4" t="s">
        <v>29</v>
      </c>
    </row>
    <row r="7" spans="1:15" x14ac:dyDescent="0.45">
      <c r="A7" s="15"/>
      <c r="B7" s="2"/>
      <c r="C7" s="2"/>
      <c r="D7" s="2"/>
      <c r="E7" s="2"/>
      <c r="F7" s="2"/>
      <c r="G7" s="2"/>
      <c r="H7" s="21"/>
      <c r="K7" s="2">
        <v>104</v>
      </c>
      <c r="L7" s="2" t="s">
        <v>18</v>
      </c>
      <c r="N7" s="7" t="s">
        <v>25</v>
      </c>
      <c r="O7" s="7"/>
    </row>
    <row r="8" spans="1:15" ht="18.600000000000001" thickBot="1" x14ac:dyDescent="0.5">
      <c r="A8" s="22"/>
      <c r="B8" s="23" t="s">
        <v>9</v>
      </c>
      <c r="C8" s="23"/>
      <c r="D8" s="18">
        <f>SUM(D3:D6)</f>
        <v>10600</v>
      </c>
      <c r="E8" s="18">
        <f t="shared" ref="E8:H8" si="5">SUM(E3:E6)</f>
        <v>14312000</v>
      </c>
      <c r="F8" s="18">
        <f t="shared" si="5"/>
        <v>116415</v>
      </c>
      <c r="G8" s="18">
        <f t="shared" si="5"/>
        <v>8617</v>
      </c>
      <c r="H8" s="19">
        <f t="shared" si="5"/>
        <v>14419798</v>
      </c>
      <c r="N8" s="1" t="s">
        <v>5</v>
      </c>
      <c r="O8" s="1" t="s">
        <v>11</v>
      </c>
    </row>
    <row r="9" spans="1:15" x14ac:dyDescent="0.45">
      <c r="N9" s="2" t="s">
        <v>26</v>
      </c>
      <c r="O9" s="2" t="s">
        <v>27</v>
      </c>
    </row>
    <row r="10" spans="1:15" ht="18.600000000000001" thickBot="1" x14ac:dyDescent="0.5">
      <c r="A10" s="5" t="s">
        <v>10</v>
      </c>
      <c r="B10" s="5"/>
      <c r="C10" s="5"/>
      <c r="D10" s="5"/>
      <c r="E10" s="5"/>
      <c r="F10" s="5"/>
      <c r="G10" s="5"/>
      <c r="H10" s="5"/>
      <c r="I10" s="5"/>
      <c r="N10" s="2" t="s">
        <v>22</v>
      </c>
      <c r="O10" s="2" t="s">
        <v>28</v>
      </c>
    </row>
    <row r="11" spans="1:15" x14ac:dyDescent="0.45">
      <c r="A11" s="12" t="s">
        <v>1</v>
      </c>
      <c r="B11" s="13" t="s">
        <v>2</v>
      </c>
      <c r="C11" s="13" t="s">
        <v>3</v>
      </c>
      <c r="D11" s="13" t="s">
        <v>4</v>
      </c>
      <c r="E11" s="13" t="s">
        <v>5</v>
      </c>
      <c r="F11" s="13" t="s">
        <v>11</v>
      </c>
      <c r="G11" s="13" t="s">
        <v>7</v>
      </c>
      <c r="H11" s="13" t="s">
        <v>12</v>
      </c>
      <c r="I11" s="14" t="s">
        <v>13</v>
      </c>
      <c r="N11" s="4" t="s">
        <v>30</v>
      </c>
    </row>
    <row r="12" spans="1:15" x14ac:dyDescent="0.45">
      <c r="A12" s="15">
        <v>103</v>
      </c>
      <c r="B12" s="2" t="str">
        <f t="shared" ref="B12:B19" si="6">VLOOKUP(A12,$K$4:$L$7,2)</f>
        <v>コスモ銀行</v>
      </c>
      <c r="C12" s="3">
        <v>762</v>
      </c>
      <c r="D12" s="3">
        <v>2000</v>
      </c>
      <c r="E12" s="3">
        <f t="shared" ref="E12:E19" si="7">C12*D12</f>
        <v>1524000</v>
      </c>
      <c r="F12" s="3">
        <f t="shared" ref="F12:F19" si="8">ROUNDDOWN(IF(E12&gt;=1800000,E12*0.67%,E12*0.78%),0)</f>
        <v>11887</v>
      </c>
      <c r="G12" s="3">
        <f t="shared" ref="G12:G19" si="9">ROUNDUP(F12*6.5%,0)</f>
        <v>773</v>
      </c>
      <c r="H12" s="3">
        <f t="shared" ref="H12:H19" si="10">E12-(F12-G12)</f>
        <v>1512886</v>
      </c>
      <c r="I12" s="20" t="str">
        <f>IF(AND(E12&lt;=1800000,G12&gt;=800),"*","")</f>
        <v/>
      </c>
    </row>
    <row r="13" spans="1:15" x14ac:dyDescent="0.45">
      <c r="A13" s="15">
        <v>104</v>
      </c>
      <c r="B13" s="2" t="str">
        <f t="shared" si="6"/>
        <v>ＧＬ証券</v>
      </c>
      <c r="C13" s="3">
        <v>5210</v>
      </c>
      <c r="D13" s="3">
        <v>300</v>
      </c>
      <c r="E13" s="3">
        <f t="shared" si="7"/>
        <v>1563000</v>
      </c>
      <c r="F13" s="3">
        <f t="shared" si="8"/>
        <v>12191</v>
      </c>
      <c r="G13" s="3">
        <f t="shared" si="9"/>
        <v>793</v>
      </c>
      <c r="H13" s="3">
        <f t="shared" si="10"/>
        <v>1551602</v>
      </c>
      <c r="I13" s="20" t="str">
        <f t="shared" ref="I13:I19" si="11">IF(AND(E13&lt;=1800000,G13&gt;=800),"*","")</f>
        <v/>
      </c>
    </row>
    <row r="14" spans="1:15" x14ac:dyDescent="0.45">
      <c r="A14" s="15">
        <v>102</v>
      </c>
      <c r="B14" s="2" t="str">
        <f t="shared" si="6"/>
        <v>朝日工業</v>
      </c>
      <c r="C14" s="3">
        <v>4120</v>
      </c>
      <c r="D14" s="3">
        <v>400</v>
      </c>
      <c r="E14" s="3">
        <f t="shared" si="7"/>
        <v>1648000</v>
      </c>
      <c r="F14" s="3">
        <f t="shared" si="8"/>
        <v>12854</v>
      </c>
      <c r="G14" s="3">
        <f t="shared" si="9"/>
        <v>836</v>
      </c>
      <c r="H14" s="3">
        <f t="shared" si="10"/>
        <v>1635982</v>
      </c>
      <c r="I14" s="20" t="str">
        <f t="shared" si="11"/>
        <v>*</v>
      </c>
    </row>
    <row r="15" spans="1:15" x14ac:dyDescent="0.45">
      <c r="A15" s="15">
        <v>101</v>
      </c>
      <c r="B15" s="2" t="str">
        <f t="shared" si="6"/>
        <v>太平水産</v>
      </c>
      <c r="C15" s="3">
        <v>845</v>
      </c>
      <c r="D15" s="3">
        <v>2000</v>
      </c>
      <c r="E15" s="3">
        <f t="shared" si="7"/>
        <v>1690000</v>
      </c>
      <c r="F15" s="3">
        <f t="shared" si="8"/>
        <v>13182</v>
      </c>
      <c r="G15" s="3">
        <f t="shared" si="9"/>
        <v>857</v>
      </c>
      <c r="H15" s="3">
        <f t="shared" si="10"/>
        <v>1677675</v>
      </c>
      <c r="I15" s="20" t="str">
        <f t="shared" si="11"/>
        <v>*</v>
      </c>
    </row>
    <row r="16" spans="1:15" x14ac:dyDescent="0.45">
      <c r="A16" s="15">
        <v>101</v>
      </c>
      <c r="B16" s="2" t="str">
        <f t="shared" si="6"/>
        <v>太平水産</v>
      </c>
      <c r="C16" s="3">
        <v>900</v>
      </c>
      <c r="D16" s="3">
        <v>2000</v>
      </c>
      <c r="E16" s="3">
        <f t="shared" si="7"/>
        <v>1800000</v>
      </c>
      <c r="F16" s="3">
        <f t="shared" si="8"/>
        <v>12060</v>
      </c>
      <c r="G16" s="3">
        <f t="shared" si="9"/>
        <v>784</v>
      </c>
      <c r="H16" s="3">
        <f t="shared" si="10"/>
        <v>1788724</v>
      </c>
      <c r="I16" s="20" t="str">
        <f t="shared" si="11"/>
        <v/>
      </c>
    </row>
    <row r="17" spans="1:9" x14ac:dyDescent="0.45">
      <c r="A17" s="15">
        <v>104</v>
      </c>
      <c r="B17" s="2" t="str">
        <f t="shared" si="6"/>
        <v>ＧＬ証券</v>
      </c>
      <c r="C17" s="3">
        <v>4980</v>
      </c>
      <c r="D17" s="3">
        <v>400</v>
      </c>
      <c r="E17" s="3">
        <f t="shared" si="7"/>
        <v>1992000</v>
      </c>
      <c r="F17" s="3">
        <f t="shared" si="8"/>
        <v>13346</v>
      </c>
      <c r="G17" s="3">
        <f t="shared" si="9"/>
        <v>868</v>
      </c>
      <c r="H17" s="3">
        <f t="shared" si="10"/>
        <v>1979522</v>
      </c>
      <c r="I17" s="20" t="str">
        <f t="shared" si="11"/>
        <v/>
      </c>
    </row>
    <row r="18" spans="1:9" x14ac:dyDescent="0.45">
      <c r="A18" s="15">
        <v>102</v>
      </c>
      <c r="B18" s="2" t="str">
        <f t="shared" si="6"/>
        <v>朝日工業</v>
      </c>
      <c r="C18" s="3">
        <v>4390</v>
      </c>
      <c r="D18" s="3">
        <v>500</v>
      </c>
      <c r="E18" s="3">
        <f t="shared" si="7"/>
        <v>2195000</v>
      </c>
      <c r="F18" s="3">
        <f t="shared" si="8"/>
        <v>14706</v>
      </c>
      <c r="G18" s="3">
        <f t="shared" si="9"/>
        <v>956</v>
      </c>
      <c r="H18" s="3">
        <f t="shared" si="10"/>
        <v>2181250</v>
      </c>
      <c r="I18" s="20" t="str">
        <f t="shared" si="11"/>
        <v/>
      </c>
    </row>
    <row r="19" spans="1:9" x14ac:dyDescent="0.45">
      <c r="A19" s="15">
        <v>103</v>
      </c>
      <c r="B19" s="2" t="str">
        <f t="shared" si="6"/>
        <v>コスモ銀行</v>
      </c>
      <c r="C19" s="3">
        <v>741</v>
      </c>
      <c r="D19" s="3">
        <v>3000</v>
      </c>
      <c r="E19" s="3">
        <f t="shared" si="7"/>
        <v>2223000</v>
      </c>
      <c r="F19" s="3">
        <f t="shared" si="8"/>
        <v>14894</v>
      </c>
      <c r="G19" s="3">
        <f t="shared" si="9"/>
        <v>969</v>
      </c>
      <c r="H19" s="3">
        <f t="shared" si="10"/>
        <v>2209075</v>
      </c>
      <c r="I19" s="20" t="str">
        <f t="shared" si="11"/>
        <v/>
      </c>
    </row>
    <row r="20" spans="1:9" x14ac:dyDescent="0.45">
      <c r="A20" s="15"/>
      <c r="B20" s="2"/>
      <c r="C20" s="2"/>
      <c r="D20" s="2"/>
      <c r="E20" s="2"/>
      <c r="F20" s="2"/>
      <c r="G20" s="2"/>
      <c r="H20" s="2"/>
      <c r="I20" s="21"/>
    </row>
    <row r="21" spans="1:9" ht="18.600000000000001" thickBot="1" x14ac:dyDescent="0.5">
      <c r="A21" s="22"/>
      <c r="B21" s="23" t="s">
        <v>9</v>
      </c>
      <c r="C21" s="23"/>
      <c r="D21" s="18">
        <f>SUM(D12:D19)</f>
        <v>10600</v>
      </c>
      <c r="E21" s="18">
        <f>SUM(E12:E19)</f>
        <v>14635000</v>
      </c>
      <c r="F21" s="18">
        <f>SUM(F12:F19)</f>
        <v>105120</v>
      </c>
      <c r="G21" s="18">
        <f>SUM(G12:G19)</f>
        <v>6836</v>
      </c>
      <c r="H21" s="18">
        <f>SUM(H12:H19)</f>
        <v>14536716</v>
      </c>
      <c r="I21" s="24"/>
    </row>
    <row r="23" spans="1:9" ht="18.600000000000001" thickBot="1" x14ac:dyDescent="0.5">
      <c r="A23" s="5" t="s">
        <v>14</v>
      </c>
      <c r="B23" s="5"/>
      <c r="C23" s="5"/>
    </row>
    <row r="24" spans="1:9" x14ac:dyDescent="0.45">
      <c r="A24" s="12" t="s">
        <v>2</v>
      </c>
      <c r="B24" s="13" t="s">
        <v>11</v>
      </c>
      <c r="C24" s="14" t="s">
        <v>12</v>
      </c>
      <c r="E24" s="8" t="s">
        <v>31</v>
      </c>
      <c r="F24" s="8" t="s">
        <v>31</v>
      </c>
      <c r="G24" s="8" t="s">
        <v>31</v>
      </c>
      <c r="H24" s="8" t="s">
        <v>31</v>
      </c>
    </row>
    <row r="25" spans="1:9" x14ac:dyDescent="0.45">
      <c r="A25" s="15" t="s">
        <v>15</v>
      </c>
      <c r="B25" s="3">
        <f>DSUM($A$11:$I$19,6,$E$24:$E$25)</f>
        <v>25242</v>
      </c>
      <c r="C25" s="16">
        <f>DSUM($A$11:$I$19,8,$E$24:$E$25)</f>
        <v>3466399</v>
      </c>
      <c r="E25" s="9" t="s">
        <v>33</v>
      </c>
      <c r="F25" s="9" t="s">
        <v>32</v>
      </c>
      <c r="G25" s="9" t="s">
        <v>34</v>
      </c>
      <c r="H25" s="9" t="s">
        <v>35</v>
      </c>
    </row>
    <row r="26" spans="1:9" x14ac:dyDescent="0.45">
      <c r="A26" s="15" t="s">
        <v>16</v>
      </c>
      <c r="B26" s="3">
        <f>DSUM($A$11:$I$19,6,$F$24:$F$25)</f>
        <v>27560</v>
      </c>
      <c r="C26" s="16">
        <f>DSUM($A$11:$I$19,8,$F$24:$F$25)</f>
        <v>3817232</v>
      </c>
    </row>
    <row r="27" spans="1:9" x14ac:dyDescent="0.45">
      <c r="A27" s="15" t="s">
        <v>17</v>
      </c>
      <c r="B27" s="3">
        <f>DSUM($A$11:$I$19,6,$G$24:$G$25)</f>
        <v>26781</v>
      </c>
      <c r="C27" s="16">
        <f>DSUM($A$11:$I$19,8,$G$24:$G$25)</f>
        <v>3721961</v>
      </c>
      <c r="E27" s="10" t="s">
        <v>37</v>
      </c>
      <c r="F27" s="11"/>
      <c r="G27" s="11"/>
      <c r="H27" s="11"/>
    </row>
    <row r="28" spans="1:9" ht="18.600000000000001" thickBot="1" x14ac:dyDescent="0.5">
      <c r="A28" s="17" t="s">
        <v>18</v>
      </c>
      <c r="B28" s="18">
        <f>DSUM($A$11:$I$19,6,$H$24:$H$25)</f>
        <v>25537</v>
      </c>
      <c r="C28" s="19">
        <f>DSUM($A$11:$I$19,8,$H$24:$H$25)</f>
        <v>3531124</v>
      </c>
      <c r="E28" s="11"/>
      <c r="F28" s="11"/>
      <c r="G28" s="11"/>
      <c r="H28" s="11"/>
    </row>
    <row r="29" spans="1:9" ht="18.600000000000001" thickBot="1" x14ac:dyDescent="0.5">
      <c r="A29" s="4" t="s">
        <v>36</v>
      </c>
    </row>
    <row r="30" spans="1:9" x14ac:dyDescent="0.45">
      <c r="A30" s="12" t="s">
        <v>2</v>
      </c>
      <c r="B30" s="13" t="s">
        <v>11</v>
      </c>
      <c r="C30" s="14" t="s">
        <v>12</v>
      </c>
    </row>
    <row r="31" spans="1:9" x14ac:dyDescent="0.45">
      <c r="A31" s="15" t="s">
        <v>15</v>
      </c>
      <c r="B31" s="3">
        <f>SUMIF($B$12:$B$19,$A31,$F$12:$F$19)</f>
        <v>25242</v>
      </c>
      <c r="C31" s="16">
        <f>SUMIF($B$12:$B$19,$A31,$H$12:$H$19)</f>
        <v>3466399</v>
      </c>
    </row>
    <row r="32" spans="1:9" x14ac:dyDescent="0.45">
      <c r="A32" s="15" t="s">
        <v>16</v>
      </c>
      <c r="B32" s="3">
        <f t="shared" ref="B32:C34" si="12">SUMIF($B$12:$B$19,$A32,$F$12:$F$19)</f>
        <v>27560</v>
      </c>
      <c r="C32" s="16">
        <f t="shared" ref="C32:C34" si="13">SUMIF($B$12:$B$19,$A32,$H$12:$H$19)</f>
        <v>3817232</v>
      </c>
    </row>
    <row r="33" spans="1:3" x14ac:dyDescent="0.45">
      <c r="A33" s="15" t="s">
        <v>17</v>
      </c>
      <c r="B33" s="3">
        <f t="shared" si="12"/>
        <v>26781</v>
      </c>
      <c r="C33" s="16">
        <f t="shared" si="13"/>
        <v>3721961</v>
      </c>
    </row>
    <row r="34" spans="1:3" ht="18.600000000000001" thickBot="1" x14ac:dyDescent="0.5">
      <c r="A34" s="17" t="s">
        <v>18</v>
      </c>
      <c r="B34" s="18">
        <f t="shared" si="12"/>
        <v>25537</v>
      </c>
      <c r="C34" s="19">
        <f t="shared" si="13"/>
        <v>3531124</v>
      </c>
    </row>
  </sheetData>
  <sortState xmlns:xlrd2="http://schemas.microsoft.com/office/spreadsheetml/2017/richdata2" ref="A12:I19">
    <sortCondition ref="H12:H19"/>
  </sortState>
  <mergeCells count="7">
    <mergeCell ref="E27:H28"/>
    <mergeCell ref="A1:H1"/>
    <mergeCell ref="A10:I10"/>
    <mergeCell ref="A23:C23"/>
    <mergeCell ref="K2:L2"/>
    <mergeCell ref="N2:O2"/>
    <mergeCell ref="N7:O7"/>
  </mergeCells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beerk</dc:creator>
  <cp:lastModifiedBy>beerk</cp:lastModifiedBy>
  <dcterms:created xsi:type="dcterms:W3CDTF">2020-04-24T23:45:06Z</dcterms:created>
  <dcterms:modified xsi:type="dcterms:W3CDTF">2020-04-25T10:38:20Z</dcterms:modified>
</cp:coreProperties>
</file>