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erk\Documents\D\ホームページビルダー\kentei\"/>
    </mc:Choice>
  </mc:AlternateContent>
  <xr:revisionPtr revIDLastSave="0" documentId="13_ncr:1_{95E19CE8-48D5-4E52-8BBF-EFF412501880}" xr6:coauthVersionLast="45" xr6:coauthVersionMax="45" xr10:uidLastSave="{00000000-0000-0000-0000-000000000000}"/>
  <bookViews>
    <workbookView xWindow="-108" yWindow="-108" windowWidth="23256" windowHeight="12576" xr2:uid="{A5038CEC-F898-4C36-8051-A1D5DCD3EC0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3" i="1" l="1"/>
  <c r="D34" i="1"/>
  <c r="D35" i="1"/>
  <c r="D32" i="1"/>
  <c r="C33" i="1"/>
  <c r="C34" i="1"/>
  <c r="C35" i="1"/>
  <c r="C32" i="1"/>
  <c r="K31" i="1"/>
  <c r="K30" i="1"/>
  <c r="K29" i="1"/>
  <c r="J31" i="1"/>
  <c r="J30" i="1"/>
  <c r="J29" i="1"/>
  <c r="J26" i="1"/>
  <c r="J25" i="1"/>
  <c r="J24" i="1"/>
  <c r="D27" i="1"/>
  <c r="D26" i="1"/>
  <c r="D25" i="1"/>
  <c r="D24" i="1"/>
  <c r="C27" i="1"/>
  <c r="C26" i="1"/>
  <c r="C25" i="1"/>
  <c r="C24" i="1"/>
  <c r="B35" i="1" l="1"/>
  <c r="B34" i="1"/>
  <c r="B33" i="1"/>
  <c r="B32" i="1"/>
  <c r="C37" i="1" l="1"/>
  <c r="C29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3" i="1"/>
  <c r="B25" i="1" l="1"/>
  <c r="B24" i="1"/>
  <c r="B26" i="1"/>
  <c r="B27" i="1"/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3" i="1"/>
  <c r="K20" i="1"/>
  <c r="I7" i="1" l="1"/>
  <c r="H7" i="1"/>
  <c r="I15" i="1"/>
  <c r="H15" i="1"/>
  <c r="L15" i="1" s="1"/>
  <c r="I14" i="1"/>
  <c r="H14" i="1"/>
  <c r="I6" i="1"/>
  <c r="H6" i="1"/>
  <c r="L6" i="1" s="1"/>
  <c r="I3" i="1"/>
  <c r="H3" i="1"/>
  <c r="I13" i="1"/>
  <c r="H13" i="1"/>
  <c r="L13" i="1" s="1"/>
  <c r="I5" i="1"/>
  <c r="H5" i="1"/>
  <c r="H16" i="1"/>
  <c r="L16" i="1" s="1"/>
  <c r="I16" i="1"/>
  <c r="I12" i="1"/>
  <c r="H12" i="1"/>
  <c r="L12" i="1" s="1"/>
  <c r="I4" i="1"/>
  <c r="H4" i="1"/>
  <c r="L4" i="1" s="1"/>
  <c r="I11" i="1"/>
  <c r="H11" i="1"/>
  <c r="L11" i="1" s="1"/>
  <c r="I10" i="1"/>
  <c r="H10" i="1"/>
  <c r="L10" i="1" s="1"/>
  <c r="H18" i="1"/>
  <c r="L18" i="1" s="1"/>
  <c r="I18" i="1"/>
  <c r="I17" i="1"/>
  <c r="H17" i="1"/>
  <c r="L17" i="1" s="1"/>
  <c r="I9" i="1"/>
  <c r="H9" i="1"/>
  <c r="H8" i="1"/>
  <c r="I8" i="1"/>
  <c r="F20" i="1"/>
  <c r="G20" i="1"/>
  <c r="L5" i="1" l="1"/>
  <c r="L14" i="1"/>
  <c r="K24" i="1"/>
  <c r="L8" i="1"/>
  <c r="K26" i="1"/>
  <c r="L9" i="1"/>
  <c r="L3" i="1"/>
  <c r="L7" i="1"/>
  <c r="L20" i="1" s="1"/>
  <c r="E35" i="1"/>
  <c r="K25" i="1"/>
  <c r="H20" i="1"/>
  <c r="I20" i="1"/>
  <c r="L25" i="1" l="1"/>
  <c r="E34" i="1"/>
  <c r="D37" i="1"/>
  <c r="E32" i="1"/>
  <c r="E25" i="1"/>
  <c r="F25" i="1" s="1"/>
  <c r="G25" i="1" s="1"/>
  <c r="E24" i="1"/>
  <c r="F24" i="1" s="1"/>
  <c r="D29" i="1"/>
  <c r="E33" i="1"/>
  <c r="E26" i="1"/>
  <c r="F26" i="1" s="1"/>
  <c r="G26" i="1" s="1"/>
  <c r="L24" i="1"/>
  <c r="E27" i="1"/>
  <c r="F27" i="1" s="1"/>
  <c r="G27" i="1" s="1"/>
  <c r="L26" i="1"/>
  <c r="F29" i="1" l="1"/>
  <c r="G24" i="1"/>
  <c r="E29" i="1"/>
  <c r="E37" i="1"/>
</calcChain>
</file>

<file path=xl/sharedStrings.xml><?xml version="1.0" encoding="utf-8"?>
<sst xmlns="http://schemas.openxmlformats.org/spreadsheetml/2006/main" count="123" uniqueCount="75">
  <si>
    <t>合計</t>
    <rPh sb="0" eb="2">
      <t>ゴウケイ</t>
    </rPh>
    <phoneticPr fontId="1"/>
  </si>
  <si>
    <t>団CO</t>
    <rPh sb="0" eb="1">
      <t>ダン</t>
    </rPh>
    <phoneticPr fontId="1"/>
  </si>
  <si>
    <t>団体名</t>
    <rPh sb="0" eb="2">
      <t>ダンタイ</t>
    </rPh>
    <rPh sb="2" eb="3">
      <t>メイ</t>
    </rPh>
    <phoneticPr fontId="1"/>
  </si>
  <si>
    <t>室CO</t>
    <rPh sb="0" eb="1">
      <t>シツ</t>
    </rPh>
    <phoneticPr fontId="1"/>
  </si>
  <si>
    <t>区分</t>
    <rPh sb="0" eb="2">
      <t>クブン</t>
    </rPh>
    <phoneticPr fontId="1"/>
  </si>
  <si>
    <t>室名</t>
    <rPh sb="0" eb="2">
      <t>シツメイ</t>
    </rPh>
    <phoneticPr fontId="1"/>
  </si>
  <si>
    <t>時間</t>
    <rPh sb="0" eb="2">
      <t>ジカン</t>
    </rPh>
    <phoneticPr fontId="1"/>
  </si>
  <si>
    <t>基本料金</t>
    <rPh sb="0" eb="4">
      <t>キホンリョウキン</t>
    </rPh>
    <phoneticPr fontId="1"/>
  </si>
  <si>
    <t>タイプ料金</t>
    <rPh sb="3" eb="5">
      <t>リョウキン</t>
    </rPh>
    <phoneticPr fontId="1"/>
  </si>
  <si>
    <t>諸経費</t>
    <rPh sb="0" eb="3">
      <t>ショケイヒ</t>
    </rPh>
    <phoneticPr fontId="1"/>
  </si>
  <si>
    <t>貸室料金データ表</t>
    <rPh sb="0" eb="4">
      <t>タイシツリョウキン</t>
    </rPh>
    <rPh sb="7" eb="8">
      <t>ヒョウ</t>
    </rPh>
    <phoneticPr fontId="1"/>
  </si>
  <si>
    <t>OP</t>
    <phoneticPr fontId="1"/>
  </si>
  <si>
    <t>OP料金</t>
    <rPh sb="2" eb="4">
      <t>リョウキン</t>
    </rPh>
    <phoneticPr fontId="1"/>
  </si>
  <si>
    <t>料金合計</t>
    <rPh sb="0" eb="2">
      <t>リョウキン</t>
    </rPh>
    <rPh sb="2" eb="4">
      <t>ゴウケイ</t>
    </rPh>
    <phoneticPr fontId="1"/>
  </si>
  <si>
    <t>和歌愛好会</t>
    <rPh sb="0" eb="2">
      <t>ワカ</t>
    </rPh>
    <rPh sb="2" eb="5">
      <t>アイコウカイ</t>
    </rPh>
    <phoneticPr fontId="1"/>
  </si>
  <si>
    <t>華道研究会</t>
    <rPh sb="0" eb="2">
      <t>カドウ</t>
    </rPh>
    <rPh sb="2" eb="5">
      <t>ケンキュウカイ</t>
    </rPh>
    <phoneticPr fontId="1"/>
  </si>
  <si>
    <t>商工振興会</t>
    <rPh sb="0" eb="5">
      <t>ショウコウシンコウカイ</t>
    </rPh>
    <phoneticPr fontId="1"/>
  </si>
  <si>
    <t>ＡＦＰ企画</t>
    <rPh sb="3" eb="5">
      <t>キカク</t>
    </rPh>
    <phoneticPr fontId="1"/>
  </si>
  <si>
    <t>分類</t>
    <rPh sb="0" eb="2">
      <t>ブンルイ</t>
    </rPh>
    <phoneticPr fontId="1"/>
  </si>
  <si>
    <t>時間単価</t>
    <rPh sb="0" eb="2">
      <t>ジカン</t>
    </rPh>
    <rPh sb="2" eb="4">
      <t>タンカ</t>
    </rPh>
    <phoneticPr fontId="1"/>
  </si>
  <si>
    <t>洋室</t>
    <rPh sb="0" eb="2">
      <t>ヨウシツ</t>
    </rPh>
    <phoneticPr fontId="1"/>
  </si>
  <si>
    <t>和室</t>
    <rPh sb="0" eb="2">
      <t>ワシツ</t>
    </rPh>
    <phoneticPr fontId="1"/>
  </si>
  <si>
    <t>和洋室</t>
    <rPh sb="0" eb="1">
      <t>ワ</t>
    </rPh>
    <rPh sb="1" eb="3">
      <t>ヨウシツ</t>
    </rPh>
    <phoneticPr fontId="1"/>
  </si>
  <si>
    <t>区分</t>
    <rPh sb="0" eb="2">
      <t>クブン</t>
    </rPh>
    <phoneticPr fontId="1"/>
  </si>
  <si>
    <t>タイプ</t>
    <phoneticPr fontId="1"/>
  </si>
  <si>
    <t>時間</t>
    <rPh sb="0" eb="2">
      <t>ジカン</t>
    </rPh>
    <phoneticPr fontId="1"/>
  </si>
  <si>
    <t>モダン</t>
    <phoneticPr fontId="1"/>
  </si>
  <si>
    <t>レトロ</t>
    <phoneticPr fontId="1"/>
  </si>
  <si>
    <t>シンプル</t>
    <phoneticPr fontId="1"/>
  </si>
  <si>
    <t>料率</t>
    <rPh sb="0" eb="2">
      <t>リョウリツ</t>
    </rPh>
    <phoneticPr fontId="1"/>
  </si>
  <si>
    <t>時間　　　　基本料金</t>
    <rPh sb="0" eb="2">
      <t>ジカン</t>
    </rPh>
    <rPh sb="6" eb="10">
      <t>キホンリョウキン</t>
    </rPh>
    <phoneticPr fontId="1"/>
  </si>
  <si>
    <t>それ以外</t>
    <rPh sb="2" eb="4">
      <t>イガイ</t>
    </rPh>
    <phoneticPr fontId="1"/>
  </si>
  <si>
    <t>諸経費</t>
    <rPh sb="0" eb="3">
      <t>ショケイヒ</t>
    </rPh>
    <phoneticPr fontId="1"/>
  </si>
  <si>
    <t>基本料金×2.7％</t>
    <rPh sb="0" eb="2">
      <t>キホン</t>
    </rPh>
    <rPh sb="2" eb="4">
      <t>リョウキン</t>
    </rPh>
    <phoneticPr fontId="1"/>
  </si>
  <si>
    <t>基本料金×3.6％</t>
    <rPh sb="0" eb="2">
      <t>キホン</t>
    </rPh>
    <rPh sb="2" eb="4">
      <t>リョウキン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</si>
  <si>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</si>
  <si>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</si>
  <si>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</si>
  <si>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</si>
  <si>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OP単価</t>
    <rPh sb="2" eb="4">
      <t>タンカ</t>
    </rPh>
    <phoneticPr fontId="1"/>
  </si>
  <si>
    <t>割引率</t>
    <rPh sb="0" eb="2">
      <t>ワリビキ</t>
    </rPh>
    <rPh sb="2" eb="3">
      <t>リツ</t>
    </rPh>
    <phoneticPr fontId="1"/>
  </si>
  <si>
    <t>11万以上</t>
    <rPh sb="2" eb="3">
      <t>マン</t>
    </rPh>
    <rPh sb="3" eb="5">
      <t>イジョウ</t>
    </rPh>
    <phoneticPr fontId="1"/>
  </si>
  <si>
    <t>10万以上11万未満</t>
    <rPh sb="2" eb="5">
      <t>マンイジョウ</t>
    </rPh>
    <rPh sb="7" eb="8">
      <t>マン</t>
    </rPh>
    <rPh sb="8" eb="10">
      <t>ミマン</t>
    </rPh>
    <phoneticPr fontId="1"/>
  </si>
  <si>
    <t>1以上10万未満</t>
    <rPh sb="1" eb="3">
      <t>イジョウ</t>
    </rPh>
    <rPh sb="5" eb="6">
      <t>マン</t>
    </rPh>
    <rPh sb="6" eb="8">
      <t>ミマン</t>
    </rPh>
    <phoneticPr fontId="1"/>
  </si>
  <si>
    <t>B</t>
    <phoneticPr fontId="1"/>
  </si>
  <si>
    <t>A</t>
    <phoneticPr fontId="1"/>
  </si>
  <si>
    <t>C</t>
    <phoneticPr fontId="1"/>
  </si>
  <si>
    <t>団体別請求額計算表</t>
    <rPh sb="0" eb="2">
      <t>ダンタイ</t>
    </rPh>
    <rPh sb="2" eb="3">
      <t>ベツ</t>
    </rPh>
    <rPh sb="3" eb="5">
      <t>セイキュウ</t>
    </rPh>
    <rPh sb="5" eb="6">
      <t>ガク</t>
    </rPh>
    <rPh sb="6" eb="8">
      <t>ケイサン</t>
    </rPh>
    <rPh sb="8" eb="9">
      <t>ヒョウ</t>
    </rPh>
    <phoneticPr fontId="1"/>
  </si>
  <si>
    <t>割引額</t>
    <rPh sb="0" eb="3">
      <t>ワリビキガク</t>
    </rPh>
    <phoneticPr fontId="1"/>
  </si>
  <si>
    <t>請求額</t>
    <rPh sb="0" eb="2">
      <t>セイキュウ</t>
    </rPh>
    <rPh sb="2" eb="3">
      <t>ガク</t>
    </rPh>
    <phoneticPr fontId="1"/>
  </si>
  <si>
    <t>評価</t>
    <rPh sb="0" eb="2">
      <t>ヒョウカ</t>
    </rPh>
    <phoneticPr fontId="1"/>
  </si>
  <si>
    <t>分類別総括表</t>
    <rPh sb="0" eb="2">
      <t>ブンルイ</t>
    </rPh>
    <rPh sb="2" eb="3">
      <t>ベツ</t>
    </rPh>
    <rPh sb="3" eb="6">
      <t>ソウカツヒョウ</t>
    </rPh>
    <phoneticPr fontId="1"/>
  </si>
  <si>
    <t>分類</t>
    <rPh sb="0" eb="2">
      <t>ブンルイ</t>
    </rPh>
    <phoneticPr fontId="1"/>
  </si>
  <si>
    <t>時間</t>
    <rPh sb="0" eb="2">
      <t>ジカン</t>
    </rPh>
    <phoneticPr fontId="1"/>
  </si>
  <si>
    <t>料金合計</t>
    <rPh sb="0" eb="4">
      <t>リョウキンゴウケイ</t>
    </rPh>
    <phoneticPr fontId="1"/>
  </si>
  <si>
    <t>構成比率</t>
    <rPh sb="0" eb="2">
      <t>コウセイ</t>
    </rPh>
    <rPh sb="2" eb="4">
      <t>ヒリツ</t>
    </rPh>
    <phoneticPr fontId="1"/>
  </si>
  <si>
    <t>洋室</t>
    <rPh sb="0" eb="2">
      <t>ヨウシツ</t>
    </rPh>
    <phoneticPr fontId="1"/>
  </si>
  <si>
    <t>和室</t>
    <rPh sb="0" eb="2">
      <t>ワシツ</t>
    </rPh>
    <phoneticPr fontId="1"/>
  </si>
  <si>
    <t>和洋室</t>
    <rPh sb="0" eb="1">
      <t>ワ</t>
    </rPh>
    <rPh sb="1" eb="3">
      <t>ヨウシツ</t>
    </rPh>
    <phoneticPr fontId="1"/>
  </si>
  <si>
    <t>10以上　または　24,000以上</t>
    <rPh sb="2" eb="4">
      <t>イジョウ</t>
    </rPh>
    <rPh sb="15" eb="17">
      <t>イジョウ</t>
    </rPh>
    <phoneticPr fontId="1"/>
  </si>
  <si>
    <t>室名</t>
    <rPh sb="0" eb="2">
      <t>シツメイ</t>
    </rPh>
    <phoneticPr fontId="1"/>
  </si>
  <si>
    <t>団体テーブル</t>
    <rPh sb="0" eb="2">
      <t>ダンタイ</t>
    </rPh>
    <phoneticPr fontId="1"/>
  </si>
  <si>
    <t>分類表</t>
    <rPh sb="0" eb="2">
      <t>ブンルイ</t>
    </rPh>
    <rPh sb="2" eb="3">
      <t>ヒョウ</t>
    </rPh>
    <phoneticPr fontId="1"/>
  </si>
  <si>
    <t>タイプ乗率表</t>
    <rPh sb="3" eb="5">
      <t>ジョウリツ</t>
    </rPh>
    <rPh sb="5" eb="6">
      <t>ヒョウ</t>
    </rPh>
    <phoneticPr fontId="1"/>
  </si>
  <si>
    <t>料率表</t>
    <rPh sb="0" eb="2">
      <t>リョウリツ</t>
    </rPh>
    <rPh sb="2" eb="3">
      <t>ヒョウ</t>
    </rPh>
    <phoneticPr fontId="1"/>
  </si>
  <si>
    <t>諸経費の計算式</t>
    <rPh sb="0" eb="3">
      <t>ショケイヒ</t>
    </rPh>
    <rPh sb="4" eb="7">
      <t>ケイサンシキ</t>
    </rPh>
    <phoneticPr fontId="1"/>
  </si>
  <si>
    <t>OP単価テーブル</t>
    <rPh sb="2" eb="4">
      <t>タンカ</t>
    </rPh>
    <phoneticPr fontId="1"/>
  </si>
  <si>
    <t>割引率表</t>
    <rPh sb="0" eb="2">
      <t>ワリビキ</t>
    </rPh>
    <rPh sb="2" eb="3">
      <t>リツ</t>
    </rPh>
    <rPh sb="3" eb="4">
      <t>ヒョウ</t>
    </rPh>
    <phoneticPr fontId="1"/>
  </si>
  <si>
    <t>別解答</t>
    <rPh sb="0" eb="1">
      <t>ベツ</t>
    </rPh>
    <rPh sb="1" eb="3">
      <t>カイトウ</t>
    </rPh>
    <phoneticPr fontId="1"/>
  </si>
  <si>
    <t>団CO</t>
    <rPh sb="0" eb="1">
      <t>ダン</t>
    </rPh>
    <phoneticPr fontId="1"/>
  </si>
  <si>
    <t>洋室*</t>
    <rPh sb="0" eb="2">
      <t>ヨウシツ</t>
    </rPh>
    <phoneticPr fontId="1"/>
  </si>
  <si>
    <t>和室*</t>
    <rPh sb="0" eb="2">
      <t>ワシツ</t>
    </rPh>
    <phoneticPr fontId="1"/>
  </si>
  <si>
    <t>和洋室*</t>
    <rPh sb="0" eb="1">
      <t>ワ</t>
    </rPh>
    <rPh sb="1" eb="3">
      <t>ヨウシツ</t>
    </rPh>
    <phoneticPr fontId="1"/>
  </si>
  <si>
    <t>本解答は、基本データベース関数（DSUM等）を使用しています。別解答は、基本ＩＦ関数（SUMIF等）を使用しています。</t>
    <rPh sb="0" eb="1">
      <t>ホン</t>
    </rPh>
    <rPh sb="1" eb="3">
      <t>カイトウ</t>
    </rPh>
    <rPh sb="5" eb="7">
      <t>キホン</t>
    </rPh>
    <rPh sb="13" eb="15">
      <t>カンスウ</t>
    </rPh>
    <rPh sb="20" eb="21">
      <t>トウ</t>
    </rPh>
    <rPh sb="23" eb="25">
      <t>シヨウ</t>
    </rPh>
    <rPh sb="31" eb="32">
      <t>ベツ</t>
    </rPh>
    <rPh sb="32" eb="34">
      <t>カイトウ</t>
    </rPh>
    <rPh sb="36" eb="38">
      <t>キホン</t>
    </rPh>
    <rPh sb="40" eb="42">
      <t>カンスウ</t>
    </rPh>
    <rPh sb="48" eb="49">
      <t>トウ</t>
    </rPh>
    <rPh sb="51" eb="53">
      <t>シヨウ</t>
    </rPh>
    <phoneticPr fontId="1"/>
  </si>
  <si>
    <t>※諸経費は10位未満切り上げ</t>
    <rPh sb="1" eb="4">
      <t>ショケイヒ</t>
    </rPh>
    <rPh sb="7" eb="8">
      <t>イ</t>
    </rPh>
    <rPh sb="8" eb="10">
      <t>ミマン</t>
    </rPh>
    <rPh sb="10" eb="11">
      <t>キ</t>
    </rPh>
    <rPh sb="12" eb="13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</si>
</sst>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0.0%"/>
    <numFmt numFmtId="178" formatCode="#,##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1" xfId="0" applyNumberFormat="1" applyBorder="1" applyAlignment="1">
      <alignment vertical="center"/>
    </xf>
    <xf numFmtId="9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76" fontId="0" fillId="0" borderId="0" xfId="0" applyNumberFormat="1" applyAlignment="1">
      <alignment vertical="center"/>
    </xf>
    <xf numFmtId="178" fontId="0" fillId="0" borderId="1" xfId="0" applyNumberFormat="1" applyBorder="1">
      <alignment vertical="center"/>
    </xf>
    <xf numFmtId="176" fontId="0" fillId="2" borderId="5" xfId="0" applyNumberFormat="1" applyFill="1" applyBorder="1" applyAlignment="1">
      <alignment horizontal="center" vertical="center"/>
    </xf>
    <xf numFmtId="176" fontId="0" fillId="2" borderId="6" xfId="0" applyNumberFormat="1" applyFill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176" fontId="0" fillId="2" borderId="8" xfId="0" applyNumberFormat="1" applyFill="1" applyBorder="1">
      <alignment vertical="center"/>
    </xf>
    <xf numFmtId="176" fontId="0" fillId="2" borderId="9" xfId="0" applyNumberFormat="1" applyFill="1" applyBorder="1">
      <alignment vertical="center"/>
    </xf>
    <xf numFmtId="176" fontId="0" fillId="2" borderId="10" xfId="0" applyNumberFormat="1" applyFill="1" applyBorder="1">
      <alignment vertical="center"/>
    </xf>
    <xf numFmtId="176" fontId="0" fillId="2" borderId="11" xfId="0" applyNumberFormat="1" applyFill="1" applyBorder="1" applyAlignment="1">
      <alignment horizontal="center" vertical="center"/>
    </xf>
    <xf numFmtId="176" fontId="0" fillId="2" borderId="12" xfId="0" applyNumberFormat="1" applyFill="1" applyBorder="1">
      <alignment vertical="center"/>
    </xf>
    <xf numFmtId="176" fontId="0" fillId="2" borderId="7" xfId="0" applyNumberFormat="1" applyFill="1" applyBorder="1">
      <alignment vertical="center"/>
    </xf>
    <xf numFmtId="177" fontId="0" fillId="2" borderId="14" xfId="0" applyNumberFormat="1" applyFill="1" applyBorder="1">
      <alignment vertical="center"/>
    </xf>
    <xf numFmtId="177" fontId="0" fillId="2" borderId="10" xfId="0" applyNumberFormat="1" applyFill="1" applyBorder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2" borderId="1" xfId="0" applyNumberFormat="1" applyFill="1" applyBorder="1" applyAlignment="1">
      <alignment vertical="center"/>
    </xf>
    <xf numFmtId="9" fontId="0" fillId="2" borderId="1" xfId="0" applyNumberFormat="1" applyFill="1" applyBorder="1">
      <alignment vertical="center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8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14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7" fontId="0" fillId="0" borderId="14" xfId="0" applyNumberFormat="1" applyBorder="1">
      <alignment vertical="center"/>
    </xf>
    <xf numFmtId="176" fontId="0" fillId="0" borderId="8" xfId="0" applyNumberFormat="1" applyBorder="1">
      <alignment vertical="center"/>
    </xf>
    <xf numFmtId="177" fontId="0" fillId="0" borderId="10" xfId="0" applyNumberFormat="1" applyBorder="1">
      <alignment vertical="center"/>
    </xf>
    <xf numFmtId="176" fontId="2" fillId="0" borderId="0" xfId="0" applyNumberFormat="1" applyFont="1" applyAlignment="1">
      <alignment horizontal="left" vertical="top" wrapText="1"/>
    </xf>
    <xf numFmtId="176" fontId="3" fillId="0" borderId="0" xfId="0" applyNumberFormat="1" applyFont="1" applyAlignment="1">
      <alignment horizontal="left" vertical="top" wrapText="1"/>
    </xf>
    <xf numFmtId="176" fontId="0" fillId="0" borderId="0" xfId="0" applyNumberFormat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left" vertical="center"/>
    </xf>
    <xf numFmtId="176" fontId="0" fillId="0" borderId="4" xfId="0" applyNumberFormat="1" applyBorder="1" applyAlignment="1">
      <alignment horizontal="left" vertical="center"/>
    </xf>
    <xf numFmtId="176" fontId="0" fillId="0" borderId="0" xfId="0" applyNumberFormat="1" applyBorder="1" applyAlignment="1">
      <alignment horizontal="center" vertical="center"/>
    </xf>
    <xf numFmtId="176" fontId="0" fillId="0" borderId="0" xfId="0" applyNumberFormat="1" applyFill="1" applyBorder="1" applyAlignment="1">
      <alignment horizontal="left" vertical="center"/>
    </xf>
    <xf numFmtId="176" fontId="0" fillId="2" borderId="5" xfId="0" applyNumberFormat="1" applyFill="1" applyBorder="1" applyAlignment="1">
      <alignment horizontal="center" vertical="center"/>
    </xf>
    <xf numFmtId="176" fontId="0" fillId="2" borderId="6" xfId="0" applyNumberFormat="1" applyFill="1" applyBorder="1" applyAlignment="1">
      <alignment horizontal="center" vertical="center"/>
    </xf>
    <xf numFmtId="176" fontId="0" fillId="2" borderId="13" xfId="0" applyNumberFormat="1" applyFill="1" applyBorder="1" applyAlignment="1">
      <alignment horizontal="left" vertical="center"/>
    </xf>
    <xf numFmtId="176" fontId="0" fillId="2" borderId="1" xfId="0" applyNumberFormat="1" applyFill="1" applyBorder="1" applyAlignment="1">
      <alignment horizontal="left" vertical="center"/>
    </xf>
    <xf numFmtId="176" fontId="0" fillId="2" borderId="8" xfId="0" applyNumberFormat="1" applyFill="1" applyBorder="1" applyAlignment="1">
      <alignment horizontal="left" vertical="center"/>
    </xf>
    <xf numFmtId="176" fontId="0" fillId="2" borderId="9" xfId="0" applyNumberForma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団体別の集計グラフ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1"/>
          <c:tx>
            <c:strRef>
              <c:f>Sheet1!$F$23</c:f>
              <c:strCache>
                <c:ptCount val="1"/>
                <c:pt idx="0">
                  <c:v>請求額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Sheet1!$B$24:$B$27</c:f>
              <c:strCache>
                <c:ptCount val="4"/>
                <c:pt idx="0">
                  <c:v>商工振興会</c:v>
                </c:pt>
                <c:pt idx="1">
                  <c:v>ＡＦＰ企画</c:v>
                </c:pt>
                <c:pt idx="2">
                  <c:v>和歌愛好会</c:v>
                </c:pt>
                <c:pt idx="3">
                  <c:v>華道研究会</c:v>
                </c:pt>
              </c:strCache>
            </c:strRef>
          </c:cat>
          <c:val>
            <c:numRef>
              <c:f>Sheet1!$F$24:$F$27</c:f>
              <c:numCache>
                <c:formatCode>#,##0_);[Red]\(#,##0\)</c:formatCode>
                <c:ptCount val="4"/>
                <c:pt idx="0">
                  <c:v>94156</c:v>
                </c:pt>
                <c:pt idx="1">
                  <c:v>97919</c:v>
                </c:pt>
                <c:pt idx="2">
                  <c:v>101229</c:v>
                </c:pt>
                <c:pt idx="3">
                  <c:v>103105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2D-427D-92AB-08642A705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16219400"/>
        <c:axId val="716218416"/>
      </c:barChart>
      <c:lineChart>
        <c:grouping val="standard"/>
        <c:varyColors val="0"/>
        <c:ser>
          <c:idx val="0"/>
          <c:order val="0"/>
          <c:tx>
            <c:strRef>
              <c:f>Sheet1!$C$23</c:f>
              <c:strCache>
                <c:ptCount val="1"/>
                <c:pt idx="0">
                  <c:v>時間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Sheet1!$B$24:$B$27</c:f>
              <c:strCache>
                <c:ptCount val="4"/>
                <c:pt idx="0">
                  <c:v>商工振興会</c:v>
                </c:pt>
                <c:pt idx="1">
                  <c:v>ＡＦＰ企画</c:v>
                </c:pt>
                <c:pt idx="2">
                  <c:v>和歌愛好会</c:v>
                </c:pt>
                <c:pt idx="3">
                  <c:v>華道研究会</c:v>
                </c:pt>
              </c:strCache>
            </c:strRef>
          </c:cat>
          <c:val>
            <c:numRef>
              <c:f>Sheet1!$C$24:$C$27</c:f>
              <c:numCache>
                <c:formatCode>#,##0_);[Red]\(#,##0\)</c:formatCode>
                <c:ptCount val="4"/>
                <c:pt idx="0">
                  <c:v>35</c:v>
                </c:pt>
                <c:pt idx="1">
                  <c:v>33</c:v>
                </c:pt>
                <c:pt idx="2">
                  <c:v>29</c:v>
                </c:pt>
                <c:pt idx="3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2D-427D-92AB-08642A705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4172368"/>
        <c:axId val="720570408"/>
      </c:lineChart>
      <c:catAx>
        <c:axId val="716219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6218416"/>
        <c:crosses val="autoZero"/>
        <c:auto val="1"/>
        <c:lblAlgn val="ctr"/>
        <c:lblOffset val="100"/>
        <c:noMultiLvlLbl val="0"/>
      </c:catAx>
      <c:valAx>
        <c:axId val="71621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6219400"/>
        <c:crosses val="autoZero"/>
        <c:crossBetween val="between"/>
      </c:valAx>
      <c:valAx>
        <c:axId val="720570408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4172368"/>
        <c:crosses val="max"/>
        <c:crossBetween val="between"/>
      </c:valAx>
      <c:catAx>
        <c:axId val="724172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05704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247650</xdr:colOff>
      <xdr:row>25</xdr:row>
      <xdr:rowOff>49530</xdr:rowOff>
    </xdr:from>
    <xdr:to>
      <xdr:col>20</xdr:col>
      <xdr:colOff>293370</xdr:colOff>
      <xdr:row>37</xdr:row>
      <xdr:rowOff>49530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BE5D48F-2CC5-4C4C-9CAD-92AD7B6DE8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22FB9-A523-423E-BC72-A3484F832096}">
  <dimension ref="A1:X37"/>
  <sheetViews>
    <sheetView tabSelected="1" topLeftCell="A4" workbookViewId="0">
      <selection activeCell="R13" sqref="R13"/>
    </sheetView>
  </sheetViews>
  <sheetFormatPr defaultRowHeight="18" x14ac:dyDescent="0.45"/>
  <cols>
    <col min="1" max="1" width="5.69921875" style="2" bestFit="1" customWidth="1"/>
    <col min="2" max="2" width="10.3984375" style="2" bestFit="1" customWidth="1"/>
    <col min="3" max="3" width="5.69921875" style="2" bestFit="1" customWidth="1"/>
    <col min="4" max="4" width="8.59765625" style="2" bestFit="1" customWidth="1"/>
    <col min="5" max="5" width="22.19921875" style="2" bestFit="1" customWidth="1"/>
    <col min="6" max="7" width="8.59765625" style="2" bestFit="1" customWidth="1"/>
    <col min="8" max="8" width="10.3984375" style="2" bestFit="1" customWidth="1"/>
    <col min="9" max="9" width="7.59765625" style="2" bestFit="1" customWidth="1"/>
    <col min="10" max="10" width="5" style="2" bestFit="1" customWidth="1"/>
    <col min="11" max="11" width="8.59765625" style="2" bestFit="1" customWidth="1"/>
    <col min="12" max="12" width="8.59765625" style="2" customWidth="1"/>
    <col min="13" max="13" width="4.69921875" style="2" customWidth="1"/>
    <col min="14" max="14" width="5.69921875" style="2" bestFit="1" customWidth="1"/>
    <col min="15" max="15" width="10.3984375" style="2" bestFit="1" customWidth="1"/>
    <col min="16" max="16" width="5.796875" style="2" bestFit="1" customWidth="1"/>
    <col min="17" max="17" width="5.69921875" style="2" bestFit="1" customWidth="1"/>
    <col min="18" max="18" width="6.796875" style="2" bestFit="1" customWidth="1"/>
    <col min="19" max="19" width="8.59765625" style="2" bestFit="1" customWidth="1"/>
    <col min="20" max="20" width="7.69921875" style="2" bestFit="1" customWidth="1"/>
    <col min="21" max="21" width="5" style="2" bestFit="1" customWidth="1"/>
    <col min="22" max="22" width="8.59765625" style="2" bestFit="1" customWidth="1"/>
    <col min="23" max="23" width="6.796875" style="2" bestFit="1" customWidth="1"/>
    <col min="24" max="24" width="4.796875" style="2" bestFit="1" customWidth="1"/>
    <col min="25" max="16384" width="8.796875" style="2"/>
  </cols>
  <sheetData>
    <row r="1" spans="1:24" ht="18.600000000000001" thickBot="1" x14ac:dyDescent="0.5">
      <c r="A1" s="40" t="s">
        <v>10</v>
      </c>
      <c r="B1" s="40"/>
      <c r="C1" s="40"/>
      <c r="D1" s="40"/>
      <c r="E1" s="40"/>
      <c r="F1" s="40"/>
      <c r="G1" s="40"/>
      <c r="H1" s="40"/>
      <c r="I1" s="40"/>
      <c r="J1" s="1"/>
      <c r="K1" s="1"/>
      <c r="L1" s="1"/>
      <c r="N1" s="45" t="s">
        <v>61</v>
      </c>
      <c r="O1" s="45"/>
      <c r="Q1" s="45" t="s">
        <v>62</v>
      </c>
      <c r="R1" s="45"/>
      <c r="S1" s="45"/>
      <c r="U1" s="45" t="s">
        <v>63</v>
      </c>
      <c r="V1" s="45"/>
      <c r="W1" s="45"/>
      <c r="X1" s="45"/>
    </row>
    <row r="2" spans="1:24" s="1" customFormat="1" x14ac:dyDescent="0.45">
      <c r="A2" s="24" t="s">
        <v>1</v>
      </c>
      <c r="B2" s="25" t="s">
        <v>2</v>
      </c>
      <c r="C2" s="25" t="s">
        <v>3</v>
      </c>
      <c r="D2" s="25" t="s">
        <v>4</v>
      </c>
      <c r="E2" s="25" t="s">
        <v>5</v>
      </c>
      <c r="F2" s="25" t="s">
        <v>6</v>
      </c>
      <c r="G2" s="25" t="s">
        <v>7</v>
      </c>
      <c r="H2" s="25" t="s">
        <v>8</v>
      </c>
      <c r="I2" s="25" t="s">
        <v>9</v>
      </c>
      <c r="J2" s="25" t="s">
        <v>11</v>
      </c>
      <c r="K2" s="25" t="s">
        <v>12</v>
      </c>
      <c r="L2" s="26" t="s">
        <v>13</v>
      </c>
      <c r="N2" s="3" t="s">
        <v>1</v>
      </c>
      <c r="O2" s="3" t="s">
        <v>2</v>
      </c>
      <c r="Q2" s="3" t="s">
        <v>3</v>
      </c>
      <c r="R2" s="3" t="s">
        <v>18</v>
      </c>
      <c r="S2" s="3" t="s">
        <v>19</v>
      </c>
      <c r="U2" s="43" t="s">
        <v>23</v>
      </c>
      <c r="V2" s="43" t="s">
        <v>24</v>
      </c>
      <c r="W2" s="43" t="s">
        <v>25</v>
      </c>
      <c r="X2" s="43"/>
    </row>
    <row r="3" spans="1:24" x14ac:dyDescent="0.45">
      <c r="A3" s="27">
        <v>101</v>
      </c>
      <c r="B3" s="4" t="str">
        <f>VLOOKUP(A3,$N$3:$O$6,2,0)</f>
        <v>華道研究会</v>
      </c>
      <c r="C3" s="4">
        <v>21</v>
      </c>
      <c r="D3" s="4">
        <f>MOD(C3,10)</f>
        <v>1</v>
      </c>
      <c r="E3" s="4" t="str">
        <f>VLOOKUP(C3,$Q$3:$R$5,2,1)&amp;"・"&amp;VLOOKUP(D3,$U$4:$V$6,2,0)&amp;"タイプ"</f>
        <v>和室・モダンタイプ</v>
      </c>
      <c r="F3" s="4">
        <v>7</v>
      </c>
      <c r="G3" s="4">
        <f>VLOOKUP(C3,$Q$3:$S$5,3,1)*F3*VLOOKUP(F3,$N$10:$P$12,3,1)</f>
        <v>19278</v>
      </c>
      <c r="H3" s="4">
        <f>ROUNDDOWN(G3*VLOOKUP(D3,$U$4:$X$6,IF(F3&lt;=7,3,4),0),-2)</f>
        <v>5200</v>
      </c>
      <c r="I3" s="9">
        <f>ROUNDUP(IF(OR(F3&gt;=10,G3&gt;=24000),G3*0.027,G3*0.036),-1)</f>
        <v>700</v>
      </c>
      <c r="J3" s="21" t="s">
        <v>44</v>
      </c>
      <c r="K3" s="4">
        <f>VLOOKUP(J3,$N$16:$O$19,2,0)*F3</f>
        <v>1260</v>
      </c>
      <c r="L3" s="28">
        <f>G3+H3+I3+K3</f>
        <v>26438</v>
      </c>
      <c r="N3" s="4">
        <v>101</v>
      </c>
      <c r="O3" s="4" t="s">
        <v>15</v>
      </c>
      <c r="Q3" s="4">
        <v>10</v>
      </c>
      <c r="R3" s="4" t="s">
        <v>20</v>
      </c>
      <c r="S3" s="4">
        <v>2740</v>
      </c>
      <c r="U3" s="43"/>
      <c r="V3" s="43"/>
      <c r="W3" s="3">
        <v>1</v>
      </c>
      <c r="X3" s="3">
        <v>8</v>
      </c>
    </row>
    <row r="4" spans="1:24" x14ac:dyDescent="0.45">
      <c r="A4" s="27">
        <v>101</v>
      </c>
      <c r="B4" s="4" t="str">
        <f t="shared" ref="B4:B18" si="0">VLOOKUP(A4,$N$3:$O$6,2,0)</f>
        <v>華道研究会</v>
      </c>
      <c r="C4" s="4">
        <v>22</v>
      </c>
      <c r="D4" s="4">
        <f t="shared" ref="D4:D18" si="1">MOD(C4,10)</f>
        <v>2</v>
      </c>
      <c r="E4" s="4" t="str">
        <f t="shared" ref="E4:E18" si="2">VLOOKUP(C4,$Q$3:$R$5,2,1)&amp;"・"&amp;VLOOKUP(D4,$U$4:$V$6,2,0)&amp;"タイプ"</f>
        <v>和室・レトロタイプ</v>
      </c>
      <c r="F4" s="4">
        <v>5</v>
      </c>
      <c r="G4" s="4">
        <f t="shared" ref="G4:G18" si="3">VLOOKUP(C4,$Q$3:$S$5,3,1)*F4*VLOOKUP(F4,$N$10:$P$12,3,1)</f>
        <v>16200</v>
      </c>
      <c r="H4" s="4">
        <f t="shared" ref="H4:H18" si="4">ROUNDDOWN(G4*VLOOKUP(D4,$U$4:$X$6,IF(F4&lt;=7,3,4),0),-2)</f>
        <v>2900</v>
      </c>
      <c r="I4" s="9">
        <f t="shared" ref="I4:I18" si="5">ROUNDUP(IF(OR(F4&gt;=10,G4&gt;=24000),G4*0.027,G4*0.036),-1)</f>
        <v>590</v>
      </c>
      <c r="J4" s="21" t="s">
        <v>45</v>
      </c>
      <c r="K4" s="4">
        <f t="shared" ref="K4:K18" si="6">VLOOKUP(J4,$N$16:$O$19,2,0)*F4</f>
        <v>850</v>
      </c>
      <c r="L4" s="28">
        <f t="shared" ref="L4:L18" si="7">G4+H4+I4+K4</f>
        <v>20540</v>
      </c>
      <c r="N4" s="4">
        <v>102</v>
      </c>
      <c r="O4" s="4" t="s">
        <v>14</v>
      </c>
      <c r="Q4" s="4">
        <v>20</v>
      </c>
      <c r="R4" s="4" t="s">
        <v>21</v>
      </c>
      <c r="S4" s="4">
        <v>3240</v>
      </c>
      <c r="U4" s="4">
        <v>1</v>
      </c>
      <c r="V4" s="4" t="s">
        <v>26</v>
      </c>
      <c r="W4" s="6">
        <v>0.27</v>
      </c>
      <c r="X4" s="6">
        <v>0.24</v>
      </c>
    </row>
    <row r="5" spans="1:24" x14ac:dyDescent="0.45">
      <c r="A5" s="27">
        <v>101</v>
      </c>
      <c r="B5" s="4" t="str">
        <f t="shared" si="0"/>
        <v>華道研究会</v>
      </c>
      <c r="C5" s="4">
        <v>23</v>
      </c>
      <c r="D5" s="4">
        <f t="shared" si="1"/>
        <v>3</v>
      </c>
      <c r="E5" s="4" t="str">
        <f t="shared" si="2"/>
        <v>和室・シンプルタイプ</v>
      </c>
      <c r="F5" s="4">
        <v>10</v>
      </c>
      <c r="G5" s="4">
        <f t="shared" si="3"/>
        <v>24300</v>
      </c>
      <c r="H5" s="4">
        <f t="shared" si="4"/>
        <v>0</v>
      </c>
      <c r="I5" s="9">
        <f t="shared" si="5"/>
        <v>660</v>
      </c>
      <c r="J5" s="21" t="s">
        <v>38</v>
      </c>
      <c r="K5" s="4">
        <f t="shared" si="6"/>
        <v>2400</v>
      </c>
      <c r="L5" s="28">
        <f t="shared" si="7"/>
        <v>27360</v>
      </c>
      <c r="N5" s="4">
        <v>201</v>
      </c>
      <c r="O5" s="4" t="s">
        <v>16</v>
      </c>
      <c r="Q5" s="4">
        <v>30</v>
      </c>
      <c r="R5" s="4" t="s">
        <v>22</v>
      </c>
      <c r="S5" s="4">
        <v>3580</v>
      </c>
      <c r="U5" s="4">
        <v>2</v>
      </c>
      <c r="V5" s="4" t="s">
        <v>27</v>
      </c>
      <c r="W5" s="6">
        <v>0.18</v>
      </c>
      <c r="X5" s="6">
        <v>0.15</v>
      </c>
    </row>
    <row r="6" spans="1:24" x14ac:dyDescent="0.45">
      <c r="A6" s="27">
        <v>101</v>
      </c>
      <c r="B6" s="4" t="str">
        <f t="shared" si="0"/>
        <v>華道研究会</v>
      </c>
      <c r="C6" s="4">
        <v>31</v>
      </c>
      <c r="D6" s="4">
        <f t="shared" si="1"/>
        <v>1</v>
      </c>
      <c r="E6" s="4" t="str">
        <f t="shared" si="2"/>
        <v>和洋室・モダンタイプ</v>
      </c>
      <c r="F6" s="4">
        <v>9</v>
      </c>
      <c r="G6" s="4">
        <f t="shared" si="3"/>
        <v>27387</v>
      </c>
      <c r="H6" s="4">
        <f t="shared" si="4"/>
        <v>6500</v>
      </c>
      <c r="I6" s="9">
        <f t="shared" si="5"/>
        <v>740</v>
      </c>
      <c r="J6" s="21" t="s">
        <v>46</v>
      </c>
      <c r="K6" s="4">
        <f t="shared" si="6"/>
        <v>1890</v>
      </c>
      <c r="L6" s="28">
        <f t="shared" si="7"/>
        <v>36517</v>
      </c>
      <c r="N6" s="4">
        <v>202</v>
      </c>
      <c r="O6" s="4" t="s">
        <v>17</v>
      </c>
      <c r="U6" s="4">
        <v>3</v>
      </c>
      <c r="V6" s="4" t="s">
        <v>28</v>
      </c>
      <c r="W6" s="6">
        <v>0</v>
      </c>
      <c r="X6" s="6">
        <v>0</v>
      </c>
    </row>
    <row r="7" spans="1:24" x14ac:dyDescent="0.45">
      <c r="A7" s="27">
        <v>102</v>
      </c>
      <c r="B7" s="4" t="str">
        <f t="shared" si="0"/>
        <v>和歌愛好会</v>
      </c>
      <c r="C7" s="4">
        <v>22</v>
      </c>
      <c r="D7" s="4">
        <f t="shared" si="1"/>
        <v>2</v>
      </c>
      <c r="E7" s="4" t="str">
        <f t="shared" si="2"/>
        <v>和室・レトロタイプ</v>
      </c>
      <c r="F7" s="4">
        <v>8</v>
      </c>
      <c r="G7" s="4">
        <f t="shared" si="3"/>
        <v>22032</v>
      </c>
      <c r="H7" s="4">
        <f t="shared" si="4"/>
        <v>3300</v>
      </c>
      <c r="I7" s="9">
        <f t="shared" si="5"/>
        <v>800</v>
      </c>
      <c r="J7" s="21" t="s">
        <v>45</v>
      </c>
      <c r="K7" s="4">
        <f t="shared" si="6"/>
        <v>1360</v>
      </c>
      <c r="L7" s="28">
        <f t="shared" si="7"/>
        <v>27492</v>
      </c>
    </row>
    <row r="8" spans="1:24" x14ac:dyDescent="0.45">
      <c r="A8" s="27">
        <v>102</v>
      </c>
      <c r="B8" s="4" t="str">
        <f t="shared" si="0"/>
        <v>和歌愛好会</v>
      </c>
      <c r="C8" s="4">
        <v>21</v>
      </c>
      <c r="D8" s="4">
        <f t="shared" si="1"/>
        <v>1</v>
      </c>
      <c r="E8" s="4" t="str">
        <f t="shared" si="2"/>
        <v>和室・モダンタイプ</v>
      </c>
      <c r="F8" s="4">
        <v>9</v>
      </c>
      <c r="G8" s="4">
        <f t="shared" si="3"/>
        <v>24786</v>
      </c>
      <c r="H8" s="4">
        <f t="shared" si="4"/>
        <v>5900</v>
      </c>
      <c r="I8" s="9">
        <f t="shared" si="5"/>
        <v>670</v>
      </c>
      <c r="J8" s="21" t="s">
        <v>38</v>
      </c>
      <c r="K8" s="4">
        <f t="shared" si="6"/>
        <v>2160</v>
      </c>
      <c r="L8" s="28">
        <f t="shared" si="7"/>
        <v>33516</v>
      </c>
      <c r="N8" s="45" t="s">
        <v>64</v>
      </c>
      <c r="O8" s="45"/>
      <c r="P8" s="45"/>
      <c r="R8" s="45" t="s">
        <v>65</v>
      </c>
      <c r="S8" s="45"/>
      <c r="T8" s="45"/>
      <c r="U8" s="45"/>
      <c r="V8" s="45"/>
    </row>
    <row r="9" spans="1:24" x14ac:dyDescent="0.45">
      <c r="A9" s="27">
        <v>102</v>
      </c>
      <c r="B9" s="4" t="str">
        <f t="shared" si="0"/>
        <v>和歌愛好会</v>
      </c>
      <c r="C9" s="4">
        <v>32</v>
      </c>
      <c r="D9" s="4">
        <f t="shared" si="1"/>
        <v>2</v>
      </c>
      <c r="E9" s="4" t="str">
        <f t="shared" si="2"/>
        <v>和洋室・レトロタイプ</v>
      </c>
      <c r="F9" s="4">
        <v>7</v>
      </c>
      <c r="G9" s="4">
        <f t="shared" si="3"/>
        <v>21301</v>
      </c>
      <c r="H9" s="4">
        <f t="shared" si="4"/>
        <v>3800</v>
      </c>
      <c r="I9" s="9">
        <f t="shared" si="5"/>
        <v>770</v>
      </c>
      <c r="J9" s="21" t="s">
        <v>46</v>
      </c>
      <c r="K9" s="4">
        <f t="shared" si="6"/>
        <v>1470</v>
      </c>
      <c r="L9" s="28">
        <f t="shared" si="7"/>
        <v>27341</v>
      </c>
      <c r="N9" s="41" t="s">
        <v>6</v>
      </c>
      <c r="O9" s="42"/>
      <c r="P9" s="22" t="s">
        <v>29</v>
      </c>
      <c r="R9" s="43" t="s">
        <v>30</v>
      </c>
      <c r="S9" s="43"/>
      <c r="T9" s="43"/>
      <c r="U9" s="43" t="s">
        <v>32</v>
      </c>
      <c r="V9" s="43"/>
    </row>
    <row r="10" spans="1:24" x14ac:dyDescent="0.45">
      <c r="A10" s="27">
        <v>102</v>
      </c>
      <c r="B10" s="4" t="str">
        <f t="shared" si="0"/>
        <v>和歌愛好会</v>
      </c>
      <c r="C10" s="4">
        <v>33</v>
      </c>
      <c r="D10" s="4">
        <f t="shared" si="1"/>
        <v>3</v>
      </c>
      <c r="E10" s="4" t="str">
        <f t="shared" si="2"/>
        <v>和洋室・シンプルタイプ</v>
      </c>
      <c r="F10" s="4">
        <v>5</v>
      </c>
      <c r="G10" s="4">
        <f t="shared" si="3"/>
        <v>17900</v>
      </c>
      <c r="H10" s="4">
        <f t="shared" si="4"/>
        <v>0</v>
      </c>
      <c r="I10" s="9">
        <f t="shared" si="5"/>
        <v>650</v>
      </c>
      <c r="J10" s="21" t="s">
        <v>44</v>
      </c>
      <c r="K10" s="4">
        <f t="shared" si="6"/>
        <v>900</v>
      </c>
      <c r="L10" s="28">
        <f t="shared" si="7"/>
        <v>19450</v>
      </c>
      <c r="N10" s="41">
        <v>1</v>
      </c>
      <c r="O10" s="42"/>
      <c r="P10" s="23">
        <v>1</v>
      </c>
      <c r="R10" s="44" t="s">
        <v>59</v>
      </c>
      <c r="S10" s="44"/>
      <c r="T10" s="44"/>
      <c r="U10" s="43" t="s">
        <v>33</v>
      </c>
      <c r="V10" s="43"/>
    </row>
    <row r="11" spans="1:24" x14ac:dyDescent="0.45">
      <c r="A11" s="27">
        <v>201</v>
      </c>
      <c r="B11" s="4" t="str">
        <f t="shared" si="0"/>
        <v>商工振興会</v>
      </c>
      <c r="C11" s="4">
        <v>12</v>
      </c>
      <c r="D11" s="4">
        <f t="shared" si="1"/>
        <v>2</v>
      </c>
      <c r="E11" s="4" t="str">
        <f t="shared" si="2"/>
        <v>洋室・レトロタイプ</v>
      </c>
      <c r="F11" s="4">
        <v>9</v>
      </c>
      <c r="G11" s="4">
        <f t="shared" si="3"/>
        <v>20961</v>
      </c>
      <c r="H11" s="4">
        <f t="shared" si="4"/>
        <v>3100</v>
      </c>
      <c r="I11" s="9">
        <f t="shared" si="5"/>
        <v>760</v>
      </c>
      <c r="J11" s="21" t="s">
        <v>45</v>
      </c>
      <c r="K11" s="4">
        <f t="shared" si="6"/>
        <v>1530</v>
      </c>
      <c r="L11" s="28">
        <f t="shared" si="7"/>
        <v>26351</v>
      </c>
      <c r="N11" s="41">
        <v>6</v>
      </c>
      <c r="O11" s="42"/>
      <c r="P11" s="23">
        <v>0.85</v>
      </c>
      <c r="R11" s="44" t="s">
        <v>31</v>
      </c>
      <c r="S11" s="44"/>
      <c r="T11" s="44"/>
      <c r="U11" s="43" t="s">
        <v>34</v>
      </c>
      <c r="V11" s="43"/>
    </row>
    <row r="12" spans="1:24" x14ac:dyDescent="0.45">
      <c r="A12" s="27">
        <v>201</v>
      </c>
      <c r="B12" s="4" t="str">
        <f t="shared" si="0"/>
        <v>商工振興会</v>
      </c>
      <c r="C12" s="4">
        <v>13</v>
      </c>
      <c r="D12" s="4">
        <f t="shared" si="1"/>
        <v>3</v>
      </c>
      <c r="E12" s="4" t="str">
        <f t="shared" si="2"/>
        <v>洋室・シンプルタイプ</v>
      </c>
      <c r="F12" s="4">
        <v>11</v>
      </c>
      <c r="G12" s="4">
        <f t="shared" si="3"/>
        <v>22605</v>
      </c>
      <c r="H12" s="4">
        <f t="shared" si="4"/>
        <v>0</v>
      </c>
      <c r="I12" s="9">
        <f t="shared" si="5"/>
        <v>620</v>
      </c>
      <c r="J12" s="21" t="s">
        <v>44</v>
      </c>
      <c r="K12" s="4">
        <f t="shared" si="6"/>
        <v>1980</v>
      </c>
      <c r="L12" s="28">
        <f t="shared" si="7"/>
        <v>25205</v>
      </c>
      <c r="N12" s="41">
        <v>10</v>
      </c>
      <c r="O12" s="42"/>
      <c r="P12" s="23">
        <v>0.75</v>
      </c>
      <c r="R12" s="2" t="s">
        <v>74</v>
      </c>
    </row>
    <row r="13" spans="1:24" x14ac:dyDescent="0.45">
      <c r="A13" s="27">
        <v>201</v>
      </c>
      <c r="B13" s="4" t="str">
        <f t="shared" si="0"/>
        <v>商工振興会</v>
      </c>
      <c r="C13" s="4">
        <v>31</v>
      </c>
      <c r="D13" s="4">
        <f t="shared" si="1"/>
        <v>1</v>
      </c>
      <c r="E13" s="4" t="str">
        <f t="shared" si="2"/>
        <v>和洋室・モダンタイプ</v>
      </c>
      <c r="F13" s="4">
        <v>5</v>
      </c>
      <c r="G13" s="4">
        <f t="shared" si="3"/>
        <v>17900</v>
      </c>
      <c r="H13" s="4">
        <f t="shared" si="4"/>
        <v>4800</v>
      </c>
      <c r="I13" s="9">
        <f t="shared" si="5"/>
        <v>650</v>
      </c>
      <c r="J13" s="21" t="s">
        <v>38</v>
      </c>
      <c r="K13" s="4">
        <f t="shared" si="6"/>
        <v>1200</v>
      </c>
      <c r="L13" s="28">
        <f t="shared" si="7"/>
        <v>24550</v>
      </c>
    </row>
    <row r="14" spans="1:24" x14ac:dyDescent="0.45">
      <c r="A14" s="27">
        <v>201</v>
      </c>
      <c r="B14" s="4" t="str">
        <f t="shared" si="0"/>
        <v>商工振興会</v>
      </c>
      <c r="C14" s="4">
        <v>13</v>
      </c>
      <c r="D14" s="4">
        <f t="shared" si="1"/>
        <v>3</v>
      </c>
      <c r="E14" s="4" t="str">
        <f t="shared" si="2"/>
        <v>洋室・シンプルタイプ</v>
      </c>
      <c r="F14" s="4">
        <v>10</v>
      </c>
      <c r="G14" s="4">
        <f t="shared" si="3"/>
        <v>20550</v>
      </c>
      <c r="H14" s="4">
        <f t="shared" si="4"/>
        <v>0</v>
      </c>
      <c r="I14" s="9">
        <f t="shared" si="5"/>
        <v>560</v>
      </c>
      <c r="J14" s="21" t="s">
        <v>46</v>
      </c>
      <c r="K14" s="4">
        <f t="shared" si="6"/>
        <v>2100</v>
      </c>
      <c r="L14" s="28">
        <f t="shared" si="7"/>
        <v>23210</v>
      </c>
      <c r="N14" s="45" t="s">
        <v>66</v>
      </c>
      <c r="O14" s="45"/>
      <c r="Q14" s="45" t="s">
        <v>67</v>
      </c>
      <c r="R14" s="45"/>
      <c r="S14" s="45"/>
    </row>
    <row r="15" spans="1:24" x14ac:dyDescent="0.45">
      <c r="A15" s="27">
        <v>202</v>
      </c>
      <c r="B15" s="4" t="str">
        <f t="shared" si="0"/>
        <v>ＡＦＰ企画</v>
      </c>
      <c r="C15" s="4">
        <v>11</v>
      </c>
      <c r="D15" s="4">
        <f t="shared" si="1"/>
        <v>1</v>
      </c>
      <c r="E15" s="4" t="str">
        <f t="shared" si="2"/>
        <v>洋室・モダンタイプ</v>
      </c>
      <c r="F15" s="4">
        <v>8</v>
      </c>
      <c r="G15" s="4">
        <f t="shared" si="3"/>
        <v>18632</v>
      </c>
      <c r="H15" s="4">
        <f t="shared" si="4"/>
        <v>4400</v>
      </c>
      <c r="I15" s="9">
        <f t="shared" si="5"/>
        <v>680</v>
      </c>
      <c r="J15" s="21" t="s">
        <v>38</v>
      </c>
      <c r="K15" s="4">
        <f t="shared" si="6"/>
        <v>1920</v>
      </c>
      <c r="L15" s="28">
        <f t="shared" si="7"/>
        <v>25632</v>
      </c>
      <c r="N15" s="4" t="s">
        <v>11</v>
      </c>
      <c r="O15" s="4" t="s">
        <v>39</v>
      </c>
      <c r="Q15" s="43" t="s">
        <v>13</v>
      </c>
      <c r="R15" s="43"/>
      <c r="S15" s="4" t="s">
        <v>40</v>
      </c>
    </row>
    <row r="16" spans="1:24" x14ac:dyDescent="0.45">
      <c r="A16" s="27">
        <v>202</v>
      </c>
      <c r="B16" s="4" t="str">
        <f t="shared" si="0"/>
        <v>ＡＦＰ企画</v>
      </c>
      <c r="C16" s="4">
        <v>12</v>
      </c>
      <c r="D16" s="4">
        <f t="shared" si="1"/>
        <v>2</v>
      </c>
      <c r="E16" s="4" t="str">
        <f t="shared" si="2"/>
        <v>洋室・レトロタイプ</v>
      </c>
      <c r="F16" s="4">
        <v>11</v>
      </c>
      <c r="G16" s="4">
        <f t="shared" si="3"/>
        <v>22605</v>
      </c>
      <c r="H16" s="4">
        <f t="shared" si="4"/>
        <v>3300</v>
      </c>
      <c r="I16" s="9">
        <f t="shared" si="5"/>
        <v>620</v>
      </c>
      <c r="J16" s="21" t="s">
        <v>44</v>
      </c>
      <c r="K16" s="4">
        <f t="shared" si="6"/>
        <v>1980</v>
      </c>
      <c r="L16" s="28">
        <f t="shared" si="7"/>
        <v>28505</v>
      </c>
      <c r="N16" s="5" t="s">
        <v>35</v>
      </c>
      <c r="O16" s="5">
        <v>170</v>
      </c>
      <c r="Q16" s="44" t="s">
        <v>41</v>
      </c>
      <c r="R16" s="44"/>
      <c r="S16" s="7">
        <v>7.0000000000000007E-2</v>
      </c>
    </row>
    <row r="17" spans="1:23" x14ac:dyDescent="0.45">
      <c r="A17" s="27">
        <v>202</v>
      </c>
      <c r="B17" s="4" t="str">
        <f t="shared" si="0"/>
        <v>ＡＦＰ企画</v>
      </c>
      <c r="C17" s="4">
        <v>32</v>
      </c>
      <c r="D17" s="4">
        <f t="shared" si="1"/>
        <v>2</v>
      </c>
      <c r="E17" s="4" t="str">
        <f t="shared" si="2"/>
        <v>和洋室・レトロタイプ</v>
      </c>
      <c r="F17" s="4">
        <v>8</v>
      </c>
      <c r="G17" s="4">
        <f t="shared" si="3"/>
        <v>24344</v>
      </c>
      <c r="H17" s="4">
        <f t="shared" si="4"/>
        <v>3600</v>
      </c>
      <c r="I17" s="9">
        <f t="shared" si="5"/>
        <v>660</v>
      </c>
      <c r="J17" s="21" t="s">
        <v>45</v>
      </c>
      <c r="K17" s="4">
        <f t="shared" si="6"/>
        <v>1360</v>
      </c>
      <c r="L17" s="28">
        <f t="shared" si="7"/>
        <v>29964</v>
      </c>
      <c r="N17" s="5" t="s">
        <v>36</v>
      </c>
      <c r="O17" s="5">
        <v>180</v>
      </c>
      <c r="Q17" s="44" t="s">
        <v>42</v>
      </c>
      <c r="R17" s="44"/>
      <c r="S17" s="7">
        <v>6.0999999999999999E-2</v>
      </c>
    </row>
    <row r="18" spans="1:23" x14ac:dyDescent="0.45">
      <c r="A18" s="27">
        <v>202</v>
      </c>
      <c r="B18" s="4" t="str">
        <f t="shared" si="0"/>
        <v>ＡＦＰ企画</v>
      </c>
      <c r="C18" s="4">
        <v>33</v>
      </c>
      <c r="D18" s="4">
        <f t="shared" si="1"/>
        <v>3</v>
      </c>
      <c r="E18" s="4" t="str">
        <f t="shared" si="2"/>
        <v>和洋室・シンプルタイプ</v>
      </c>
      <c r="F18" s="4">
        <v>6</v>
      </c>
      <c r="G18" s="4">
        <f t="shared" si="3"/>
        <v>18258</v>
      </c>
      <c r="H18" s="4">
        <f t="shared" si="4"/>
        <v>0</v>
      </c>
      <c r="I18" s="9">
        <f t="shared" si="5"/>
        <v>660</v>
      </c>
      <c r="J18" s="21" t="s">
        <v>46</v>
      </c>
      <c r="K18" s="4">
        <f t="shared" si="6"/>
        <v>1260</v>
      </c>
      <c r="L18" s="28">
        <f t="shared" si="7"/>
        <v>20178</v>
      </c>
      <c r="N18" s="5" t="s">
        <v>37</v>
      </c>
      <c r="O18" s="5">
        <v>210</v>
      </c>
      <c r="Q18" s="44" t="s">
        <v>43</v>
      </c>
      <c r="R18" s="44"/>
      <c r="S18" s="7">
        <v>5.1999999999999998E-2</v>
      </c>
    </row>
    <row r="19" spans="1:23" x14ac:dyDescent="0.45">
      <c r="A19" s="27"/>
      <c r="B19" s="4"/>
      <c r="C19" s="4"/>
      <c r="D19" s="4"/>
      <c r="E19" s="4"/>
      <c r="F19" s="4"/>
      <c r="G19" s="4"/>
      <c r="H19" s="4"/>
      <c r="I19" s="4"/>
      <c r="J19" s="4"/>
      <c r="K19" s="4"/>
      <c r="L19" s="28"/>
      <c r="N19" s="4" t="s">
        <v>38</v>
      </c>
      <c r="O19" s="4">
        <v>240</v>
      </c>
    </row>
    <row r="20" spans="1:23" ht="18.600000000000001" thickBot="1" x14ac:dyDescent="0.5">
      <c r="A20" s="29"/>
      <c r="B20" s="30" t="s">
        <v>0</v>
      </c>
      <c r="C20" s="30"/>
      <c r="D20" s="30"/>
      <c r="E20" s="30"/>
      <c r="F20" s="31">
        <f t="shared" ref="F20:L20" si="8">SUM(F3:F18)</f>
        <v>128</v>
      </c>
      <c r="G20" s="31">
        <f t="shared" si="8"/>
        <v>339039</v>
      </c>
      <c r="H20" s="31">
        <f t="shared" si="8"/>
        <v>46800</v>
      </c>
      <c r="I20" s="31">
        <f t="shared" si="8"/>
        <v>10790</v>
      </c>
      <c r="J20" s="30"/>
      <c r="K20" s="31">
        <f t="shared" si="8"/>
        <v>25620</v>
      </c>
      <c r="L20" s="32">
        <f t="shared" si="8"/>
        <v>422249</v>
      </c>
      <c r="U20" s="47" t="s">
        <v>67</v>
      </c>
      <c r="V20" s="47"/>
      <c r="W20" s="47"/>
    </row>
    <row r="21" spans="1:23" x14ac:dyDescent="0.45">
      <c r="U21" s="48" t="s">
        <v>13</v>
      </c>
      <c r="V21" s="49"/>
      <c r="W21" s="18" t="s">
        <v>40</v>
      </c>
    </row>
    <row r="22" spans="1:23" ht="18.600000000000001" thickBot="1" x14ac:dyDescent="0.5">
      <c r="A22" s="46" t="s">
        <v>47</v>
      </c>
      <c r="B22" s="46"/>
      <c r="C22" s="46"/>
      <c r="D22" s="46"/>
      <c r="E22" s="46"/>
      <c r="F22" s="46"/>
      <c r="G22" s="46"/>
      <c r="H22" s="8"/>
      <c r="I22" s="40" t="s">
        <v>51</v>
      </c>
      <c r="J22" s="40"/>
      <c r="K22" s="40"/>
      <c r="L22" s="40"/>
      <c r="U22" s="50">
        <v>1</v>
      </c>
      <c r="V22" s="51"/>
      <c r="W22" s="19">
        <v>5.1999999999999998E-2</v>
      </c>
    </row>
    <row r="23" spans="1:23" s="1" customFormat="1" x14ac:dyDescent="0.45">
      <c r="A23" s="24" t="s">
        <v>1</v>
      </c>
      <c r="B23" s="25" t="s">
        <v>2</v>
      </c>
      <c r="C23" s="25" t="s">
        <v>6</v>
      </c>
      <c r="D23" s="25" t="s">
        <v>13</v>
      </c>
      <c r="E23" s="25" t="s">
        <v>48</v>
      </c>
      <c r="F23" s="25" t="s">
        <v>49</v>
      </c>
      <c r="G23" s="26" t="s">
        <v>50</v>
      </c>
      <c r="I23" s="24" t="s">
        <v>52</v>
      </c>
      <c r="J23" s="25" t="s">
        <v>53</v>
      </c>
      <c r="K23" s="25" t="s">
        <v>54</v>
      </c>
      <c r="L23" s="26" t="s">
        <v>55</v>
      </c>
      <c r="N23" s="10" t="s">
        <v>69</v>
      </c>
      <c r="O23" s="11" t="s">
        <v>69</v>
      </c>
      <c r="P23" s="11" t="s">
        <v>69</v>
      </c>
      <c r="Q23" s="12" t="s">
        <v>69</v>
      </c>
      <c r="R23" s="10" t="s">
        <v>60</v>
      </c>
      <c r="S23" s="11" t="s">
        <v>60</v>
      </c>
      <c r="T23" s="16" t="s">
        <v>60</v>
      </c>
      <c r="U23" s="50">
        <v>100000</v>
      </c>
      <c r="V23" s="51"/>
      <c r="W23" s="19">
        <v>6.0999999999999999E-2</v>
      </c>
    </row>
    <row r="24" spans="1:23" ht="18.600000000000001" thickBot="1" x14ac:dyDescent="0.5">
      <c r="A24" s="27">
        <v>201</v>
      </c>
      <c r="B24" s="4" t="str">
        <f>VLOOKUP(A24,$N$3:$O$6,2,0)</f>
        <v>商工振興会</v>
      </c>
      <c r="C24" s="4">
        <f>DSUM($A$2:$L$18,6,$P$23:$P$24)</f>
        <v>35</v>
      </c>
      <c r="D24" s="4">
        <f>DSUM($A$2:$L$18,12,$P$23:$P$24)</f>
        <v>99316</v>
      </c>
      <c r="E24" s="4">
        <f>ROUNDDOWN(D24*VLOOKUP(D24,$U$22:$W$24,3,1),-1)</f>
        <v>5160</v>
      </c>
      <c r="F24" s="4">
        <f>D24-E24</f>
        <v>94156</v>
      </c>
      <c r="G24" s="33" t="str">
        <f>IF(AND(C24&lt;35,F24&lt;100000),"N","Y")</f>
        <v>Y</v>
      </c>
      <c r="I24" s="27" t="s">
        <v>56</v>
      </c>
      <c r="J24" s="4">
        <f>DSUM($A$2:$L$18,6,$R$23:$R$24)</f>
        <v>49</v>
      </c>
      <c r="K24" s="4">
        <f>DSUM($A$2:$L$18,12,$R$23:$R$24)</f>
        <v>128903</v>
      </c>
      <c r="L24" s="35">
        <f>K24/SUM($K$24:$K$26)</f>
        <v>0.3052772179448619</v>
      </c>
      <c r="N24" s="13">
        <v>101</v>
      </c>
      <c r="O24" s="14">
        <v>102</v>
      </c>
      <c r="P24" s="14">
        <v>201</v>
      </c>
      <c r="Q24" s="15">
        <v>202</v>
      </c>
      <c r="R24" s="13" t="s">
        <v>70</v>
      </c>
      <c r="S24" s="14" t="s">
        <v>71</v>
      </c>
      <c r="T24" s="17" t="s">
        <v>72</v>
      </c>
      <c r="U24" s="52">
        <v>110000</v>
      </c>
      <c r="V24" s="53"/>
      <c r="W24" s="20">
        <v>7.0000000000000007E-2</v>
      </c>
    </row>
    <row r="25" spans="1:23" x14ac:dyDescent="0.45">
      <c r="A25" s="27">
        <v>202</v>
      </c>
      <c r="B25" s="4" t="str">
        <f>VLOOKUP(A25,$N$3:$O$6,2,0)</f>
        <v>ＡＦＰ企画</v>
      </c>
      <c r="C25" s="4">
        <f>DSUM($A$2:$L$18,6,$Q$23:$Q$24)</f>
        <v>33</v>
      </c>
      <c r="D25" s="4">
        <f>DSUM($A$2:$L$18,12,$Q$23:$Q$24)</f>
        <v>104279</v>
      </c>
      <c r="E25" s="4">
        <f>ROUNDDOWN(D25*VLOOKUP(D25,$U$22:$W$24,3,1),-1)</f>
        <v>6360</v>
      </c>
      <c r="F25" s="4">
        <f>D25-E25</f>
        <v>97919</v>
      </c>
      <c r="G25" s="33" t="str">
        <f>IF(AND(C25&lt;35,F25&lt;100000),"N","Y")</f>
        <v>N</v>
      </c>
      <c r="I25" s="27" t="s">
        <v>57</v>
      </c>
      <c r="J25" s="4">
        <f>DSUM($A$2:$L$18,6,$S$23:$S$24)</f>
        <v>39</v>
      </c>
      <c r="K25" s="4">
        <f>DSUM($A$2:$L$18,12,$S$23:$S$24)</f>
        <v>135346</v>
      </c>
      <c r="L25" s="35">
        <f t="shared" ref="L25:L26" si="9">K25/SUM($K$24:$K$26)</f>
        <v>0.32053598705976805</v>
      </c>
    </row>
    <row r="26" spans="1:23" ht="18.600000000000001" thickBot="1" x14ac:dyDescent="0.5">
      <c r="A26" s="27">
        <v>102</v>
      </c>
      <c r="B26" s="4" t="str">
        <f>VLOOKUP(A26,$N$3:$O$6,2,0)</f>
        <v>和歌愛好会</v>
      </c>
      <c r="C26" s="4">
        <f>DSUM($A$2:$L$18,6,$O$23:$O$24)</f>
        <v>29</v>
      </c>
      <c r="D26" s="4">
        <f>DSUM($A$2:$L$18,12,$O$23:$O$24)</f>
        <v>107799</v>
      </c>
      <c r="E26" s="4">
        <f>ROUNDDOWN(D26*VLOOKUP(D26,$U$22:$W$24,3,1),-1)</f>
        <v>6570</v>
      </c>
      <c r="F26" s="4">
        <f>D26-E26</f>
        <v>101229</v>
      </c>
      <c r="G26" s="33" t="str">
        <f>IF(AND(C26&lt;35,F26&lt;100000),"N","Y")</f>
        <v>Y</v>
      </c>
      <c r="I26" s="36" t="s">
        <v>58</v>
      </c>
      <c r="J26" s="31">
        <f>DSUM($A$2:$L$18,6,$T$23:$T$24)</f>
        <v>40</v>
      </c>
      <c r="K26" s="31">
        <f>DSUM($A$2:$L$18,12,$T$23:$T$24)</f>
        <v>158000</v>
      </c>
      <c r="L26" s="37">
        <f t="shared" si="9"/>
        <v>0.37418679499537005</v>
      </c>
    </row>
    <row r="27" spans="1:23" ht="18.600000000000001" thickBot="1" x14ac:dyDescent="0.5">
      <c r="A27" s="27">
        <v>101</v>
      </c>
      <c r="B27" s="4" t="str">
        <f>VLOOKUP(A27,$N$3:$O$6,2,0)</f>
        <v>華道研究会</v>
      </c>
      <c r="C27" s="4">
        <f>DSUM($A$2:$L$18,6,$N$23:$N$24)</f>
        <v>31</v>
      </c>
      <c r="D27" s="4">
        <f>DSUM($A$2:$L$18,12,$N$23:$N$24)</f>
        <v>110855</v>
      </c>
      <c r="E27" s="4">
        <f>ROUNDDOWN(D27*VLOOKUP(D27,$U$22:$W$24,3,1),-1)</f>
        <v>7750</v>
      </c>
      <c r="F27" s="4">
        <f>D27-E27</f>
        <v>103105</v>
      </c>
      <c r="G27" s="33" t="str">
        <f>IF(AND(C27&lt;35,F27&lt;100000),"N","Y")</f>
        <v>Y</v>
      </c>
      <c r="I27" s="2" t="s">
        <v>68</v>
      </c>
    </row>
    <row r="28" spans="1:23" x14ac:dyDescent="0.45">
      <c r="A28" s="27"/>
      <c r="B28" s="4"/>
      <c r="C28" s="4"/>
      <c r="D28" s="4"/>
      <c r="E28" s="4"/>
      <c r="F28" s="4"/>
      <c r="G28" s="28"/>
      <c r="I28" s="24" t="s">
        <v>18</v>
      </c>
      <c r="J28" s="25" t="s">
        <v>6</v>
      </c>
      <c r="K28" s="25" t="s">
        <v>54</v>
      </c>
      <c r="L28" s="26" t="s">
        <v>55</v>
      </c>
    </row>
    <row r="29" spans="1:23" ht="18.600000000000001" thickBot="1" x14ac:dyDescent="0.5">
      <c r="A29" s="29"/>
      <c r="B29" s="30" t="s">
        <v>0</v>
      </c>
      <c r="C29" s="31">
        <f>SUM(C24:C27)</f>
        <v>128</v>
      </c>
      <c r="D29" s="31">
        <f>SUM(D24:D27)</f>
        <v>422249</v>
      </c>
      <c r="E29" s="31">
        <f>SUM(E24:E27)</f>
        <v>25840</v>
      </c>
      <c r="F29" s="31">
        <f>SUM(F24:F27)</f>
        <v>396409</v>
      </c>
      <c r="G29" s="34"/>
      <c r="I29" s="27" t="s">
        <v>20</v>
      </c>
      <c r="J29" s="4">
        <f>SUMIF($E$3:$E$18,"洋室*",$F$3:$F$18)</f>
        <v>49</v>
      </c>
      <c r="K29" s="4">
        <f>SUMIF($E$3:$E$18,"洋室*",$L$3:$L$18)</f>
        <v>128903</v>
      </c>
      <c r="L29" s="35"/>
    </row>
    <row r="30" spans="1:23" ht="18.600000000000001" thickBot="1" x14ac:dyDescent="0.5">
      <c r="A30" s="2" t="s">
        <v>68</v>
      </c>
      <c r="I30" s="27" t="s">
        <v>21</v>
      </c>
      <c r="J30" s="4">
        <f>SUMIF($E$3:$E$18,"和室*",$F$3:$F$18)</f>
        <v>39</v>
      </c>
      <c r="K30" s="4">
        <f>SUMIF($E$3:$E$18,"和室*",$L$3:$L$18)</f>
        <v>135346</v>
      </c>
      <c r="L30" s="35"/>
    </row>
    <row r="31" spans="1:23" ht="18.600000000000001" thickBot="1" x14ac:dyDescent="0.5">
      <c r="A31" s="24" t="s">
        <v>1</v>
      </c>
      <c r="B31" s="25" t="s">
        <v>2</v>
      </c>
      <c r="C31" s="25" t="s">
        <v>6</v>
      </c>
      <c r="D31" s="25" t="s">
        <v>13</v>
      </c>
      <c r="E31" s="25" t="s">
        <v>48</v>
      </c>
      <c r="F31" s="25" t="s">
        <v>49</v>
      </c>
      <c r="G31" s="26" t="s">
        <v>50</v>
      </c>
      <c r="I31" s="36" t="s">
        <v>22</v>
      </c>
      <c r="J31" s="31">
        <f>SUMIF($E$3:$E$18,"和洋室*",$F$3:$F$18)</f>
        <v>40</v>
      </c>
      <c r="K31" s="31">
        <f>SUMIF($E$3:$E$18,"和洋室*",$L$3:$L$18)</f>
        <v>158000</v>
      </c>
      <c r="L31" s="37"/>
    </row>
    <row r="32" spans="1:23" x14ac:dyDescent="0.45">
      <c r="A32" s="27">
        <v>201</v>
      </c>
      <c r="B32" s="4" t="str">
        <f>VLOOKUP(A32,$N$3:$O$6,2,0)</f>
        <v>商工振興会</v>
      </c>
      <c r="C32" s="4">
        <f>SUMIF($A$3:$A$18,$A32,$F$3:$F$18)</f>
        <v>35</v>
      </c>
      <c r="D32" s="4">
        <f>SUMIF($A$3:$A$18,$A32,$L$3:$L$18)</f>
        <v>99316</v>
      </c>
      <c r="E32" s="4">
        <f>ROUNDDOWN(IF(D32&gt;=110000,D32*7%,IF(D32&gt;=100000,D32*6.1%,D32*5.2%)),-1)</f>
        <v>5160</v>
      </c>
      <c r="F32" s="4"/>
      <c r="G32" s="33"/>
    </row>
    <row r="33" spans="1:12" x14ac:dyDescent="0.45">
      <c r="A33" s="27">
        <v>202</v>
      </c>
      <c r="B33" s="4" t="str">
        <f>VLOOKUP(A33,$N$3:$O$6,2,0)</f>
        <v>ＡＦＰ企画</v>
      </c>
      <c r="C33" s="4">
        <f t="shared" ref="C33:C35" si="10">SUMIF($A$3:$A$18,$A33,$F$3:$F$18)</f>
        <v>33</v>
      </c>
      <c r="D33" s="4">
        <f t="shared" ref="D33:D35" si="11">SUMIF($A$3:$A$18,$A33,$L$3:$L$18)</f>
        <v>104279</v>
      </c>
      <c r="E33" s="4">
        <f t="shared" ref="E33:E35" si="12">ROUNDDOWN(IF(D33&gt;=110000,D33*7%,IF(D33&gt;=100000,D33*6.1%,D33*5.2%)),-1)</f>
        <v>6360</v>
      </c>
      <c r="F33" s="4"/>
      <c r="G33" s="33"/>
      <c r="I33" s="38" t="s">
        <v>73</v>
      </c>
      <c r="J33" s="39"/>
      <c r="K33" s="39"/>
      <c r="L33" s="39"/>
    </row>
    <row r="34" spans="1:12" x14ac:dyDescent="0.45">
      <c r="A34" s="27">
        <v>102</v>
      </c>
      <c r="B34" s="4" t="str">
        <f>VLOOKUP(A34,$N$3:$O$6,2,0)</f>
        <v>和歌愛好会</v>
      </c>
      <c r="C34" s="4">
        <f t="shared" si="10"/>
        <v>29</v>
      </c>
      <c r="D34" s="4">
        <f t="shared" si="11"/>
        <v>107799</v>
      </c>
      <c r="E34" s="4">
        <f t="shared" si="12"/>
        <v>6570</v>
      </c>
      <c r="F34" s="4"/>
      <c r="G34" s="33"/>
      <c r="I34" s="39"/>
      <c r="J34" s="39"/>
      <c r="K34" s="39"/>
      <c r="L34" s="39"/>
    </row>
    <row r="35" spans="1:12" x14ac:dyDescent="0.45">
      <c r="A35" s="27">
        <v>101</v>
      </c>
      <c r="B35" s="4" t="str">
        <f>VLOOKUP(A35,$N$3:$O$6,2,0)</f>
        <v>華道研究会</v>
      </c>
      <c r="C35" s="4">
        <f t="shared" si="10"/>
        <v>31</v>
      </c>
      <c r="D35" s="4">
        <f t="shared" si="11"/>
        <v>110855</v>
      </c>
      <c r="E35" s="4">
        <f t="shared" si="12"/>
        <v>7750</v>
      </c>
      <c r="F35" s="4"/>
      <c r="G35" s="33"/>
      <c r="I35" s="39"/>
      <c r="J35" s="39"/>
      <c r="K35" s="39"/>
      <c r="L35" s="39"/>
    </row>
    <row r="36" spans="1:12" x14ac:dyDescent="0.45">
      <c r="A36" s="27"/>
      <c r="B36" s="4"/>
      <c r="C36" s="4"/>
      <c r="D36" s="4"/>
      <c r="E36" s="4"/>
      <c r="F36" s="4"/>
      <c r="G36" s="28"/>
      <c r="I36" s="39"/>
      <c r="J36" s="39"/>
      <c r="K36" s="39"/>
      <c r="L36" s="39"/>
    </row>
    <row r="37" spans="1:12" ht="18.600000000000001" thickBot="1" x14ac:dyDescent="0.5">
      <c r="A37" s="29"/>
      <c r="B37" s="30" t="s">
        <v>0</v>
      </c>
      <c r="C37" s="31">
        <f>SUM(C32:C35)</f>
        <v>128</v>
      </c>
      <c r="D37" s="31">
        <f>SUM(D32:D35)</f>
        <v>422249</v>
      </c>
      <c r="E37" s="31">
        <f>SUM(E32:E35)</f>
        <v>25840</v>
      </c>
      <c r="F37" s="31"/>
      <c r="G37" s="34"/>
    </row>
  </sheetData>
  <mergeCells count="33">
    <mergeCell ref="U23:V23"/>
    <mergeCell ref="U24:V24"/>
    <mergeCell ref="Q1:S1"/>
    <mergeCell ref="U1:X1"/>
    <mergeCell ref="N8:P8"/>
    <mergeCell ref="R8:V8"/>
    <mergeCell ref="N14:O14"/>
    <mergeCell ref="Q14:S14"/>
    <mergeCell ref="Q16:R16"/>
    <mergeCell ref="Q17:R17"/>
    <mergeCell ref="Q18:R18"/>
    <mergeCell ref="Q15:R15"/>
    <mergeCell ref="A22:G22"/>
    <mergeCell ref="I22:L22"/>
    <mergeCell ref="U20:W20"/>
    <mergeCell ref="U21:V21"/>
    <mergeCell ref="U22:V22"/>
    <mergeCell ref="I33:L36"/>
    <mergeCell ref="A1:I1"/>
    <mergeCell ref="N11:O11"/>
    <mergeCell ref="N12:O12"/>
    <mergeCell ref="W2:X2"/>
    <mergeCell ref="U2:U3"/>
    <mergeCell ref="V2:V3"/>
    <mergeCell ref="N9:O9"/>
    <mergeCell ref="N10:O10"/>
    <mergeCell ref="R9:T9"/>
    <mergeCell ref="R10:T10"/>
    <mergeCell ref="R11:T11"/>
    <mergeCell ref="U9:V9"/>
    <mergeCell ref="U10:V10"/>
    <mergeCell ref="U11:V11"/>
    <mergeCell ref="N1:O1"/>
  </mergeCells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beerk</dc:creator>
  <cp:lastModifiedBy>beerk</cp:lastModifiedBy>
  <dcterms:created xsi:type="dcterms:W3CDTF">2020-03-03T05:21:19Z</dcterms:created>
  <dcterms:modified xsi:type="dcterms:W3CDTF">2020-04-25T07:13:18Z</dcterms:modified>
</cp:coreProperties>
</file>