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eerk\Documents\D\ホームページビルダー\kentei\"/>
    </mc:Choice>
  </mc:AlternateContent>
  <xr:revisionPtr revIDLastSave="0" documentId="13_ncr:1_{B6A58B7F-4675-4B9C-AC61-43B4251B7F49}" xr6:coauthVersionLast="45" xr6:coauthVersionMax="45" xr10:uidLastSave="{00000000-0000-0000-0000-000000000000}"/>
  <bookViews>
    <workbookView xWindow="-108" yWindow="-108" windowWidth="23256" windowHeight="12576" xr2:uid="{6C97C3E9-B1B2-4246-BFA9-2A2BE6DDD6A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3" i="1" l="1"/>
  <c r="D32" i="1"/>
  <c r="D31" i="1"/>
  <c r="D30" i="1"/>
  <c r="C30" i="1"/>
  <c r="C31" i="1"/>
  <c r="C32" i="1"/>
  <c r="C33" i="1"/>
  <c r="B33" i="1"/>
  <c r="B32" i="1"/>
  <c r="B31" i="1"/>
  <c r="B30" i="1"/>
  <c r="M29" i="1"/>
  <c r="M28" i="1"/>
  <c r="M27" i="1"/>
  <c r="K4" i="1" l="1"/>
  <c r="K5" i="1"/>
  <c r="K6" i="1"/>
  <c r="K7" i="1"/>
  <c r="K8" i="1"/>
  <c r="K9" i="1"/>
  <c r="K10" i="1"/>
  <c r="K11" i="1"/>
  <c r="D24" i="1" s="1"/>
  <c r="K12" i="1"/>
  <c r="K13" i="1"/>
  <c r="K14" i="1"/>
  <c r="K15" i="1"/>
  <c r="K16" i="1"/>
  <c r="K17" i="1"/>
  <c r="K18" i="1"/>
  <c r="K3" i="1"/>
  <c r="M24" i="1"/>
  <c r="M23" i="1"/>
  <c r="D27" i="1"/>
  <c r="D26" i="1"/>
  <c r="D25" i="1"/>
  <c r="C27" i="1"/>
  <c r="C26" i="1"/>
  <c r="C25" i="1"/>
  <c r="C24" i="1"/>
  <c r="B27" i="1"/>
  <c r="B26" i="1"/>
  <c r="B25" i="1"/>
  <c r="B24" i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3" i="1"/>
  <c r="M25" i="1" s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3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3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3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3" i="1"/>
  <c r="F20" i="1" l="1"/>
  <c r="G20" i="1"/>
  <c r="H20" i="1"/>
  <c r="I20" i="1"/>
  <c r="J20" i="1"/>
  <c r="K20" i="1"/>
  <c r="L20" i="1"/>
  <c r="E20" i="1"/>
</calcChain>
</file>

<file path=xl/sharedStrings.xml><?xml version="1.0" encoding="utf-8"?>
<sst xmlns="http://schemas.openxmlformats.org/spreadsheetml/2006/main" count="91" uniqueCount="59">
  <si>
    <t>請求額一覧表</t>
    <rPh sb="0" eb="6">
      <t>セイキュウガクイチランヒョウ</t>
    </rPh>
    <phoneticPr fontId="1"/>
  </si>
  <si>
    <t>得CO</t>
    <rPh sb="0" eb="1">
      <t>トク</t>
    </rPh>
    <phoneticPr fontId="1"/>
  </si>
  <si>
    <t>得意先名</t>
    <rPh sb="0" eb="3">
      <t>トクイサキ</t>
    </rPh>
    <rPh sb="3" eb="4">
      <t>メイ</t>
    </rPh>
    <phoneticPr fontId="1"/>
  </si>
  <si>
    <t>商CO</t>
    <rPh sb="0" eb="1">
      <t>ショウ</t>
    </rPh>
    <phoneticPr fontId="1"/>
  </si>
  <si>
    <t>商品名</t>
    <rPh sb="0" eb="3">
      <t>ショウヒンメイ</t>
    </rPh>
    <phoneticPr fontId="1"/>
  </si>
  <si>
    <t>貸出数</t>
    <rPh sb="0" eb="2">
      <t>カシダシ</t>
    </rPh>
    <rPh sb="2" eb="3">
      <t>スウ</t>
    </rPh>
    <phoneticPr fontId="1"/>
  </si>
  <si>
    <t>日数</t>
    <rPh sb="0" eb="2">
      <t>ニッスウ</t>
    </rPh>
    <phoneticPr fontId="1"/>
  </si>
  <si>
    <t>貸出料金</t>
    <rPh sb="0" eb="2">
      <t>カシダシ</t>
    </rPh>
    <rPh sb="2" eb="4">
      <t>リョウキン</t>
    </rPh>
    <phoneticPr fontId="1"/>
  </si>
  <si>
    <t>超過料金</t>
    <rPh sb="0" eb="2">
      <t>チョウカ</t>
    </rPh>
    <rPh sb="2" eb="4">
      <t>リョウキン</t>
    </rPh>
    <phoneticPr fontId="1"/>
  </si>
  <si>
    <t>補償料</t>
    <rPh sb="0" eb="2">
      <t>ホショウ</t>
    </rPh>
    <rPh sb="2" eb="3">
      <t>リョウ</t>
    </rPh>
    <phoneticPr fontId="1"/>
  </si>
  <si>
    <t>割引額</t>
    <rPh sb="0" eb="3">
      <t>ワリビキガク</t>
    </rPh>
    <phoneticPr fontId="1"/>
  </si>
  <si>
    <t>請求額</t>
    <rPh sb="0" eb="2">
      <t>セイキュウ</t>
    </rPh>
    <rPh sb="2" eb="3">
      <t>ガク</t>
    </rPh>
    <phoneticPr fontId="1"/>
  </si>
  <si>
    <t>ポイント</t>
    <phoneticPr fontId="1"/>
  </si>
  <si>
    <t>合計</t>
    <rPh sb="0" eb="2">
      <t>ゴウケイ</t>
    </rPh>
    <phoneticPr fontId="1"/>
  </si>
  <si>
    <t>得意先テーブル</t>
    <rPh sb="0" eb="3">
      <t>トクイサキ</t>
    </rPh>
    <phoneticPr fontId="1"/>
  </si>
  <si>
    <t>青木設備</t>
    <rPh sb="0" eb="2">
      <t>アオキ</t>
    </rPh>
    <rPh sb="2" eb="4">
      <t>セツビ</t>
    </rPh>
    <phoneticPr fontId="1"/>
  </si>
  <si>
    <t>大杉工業</t>
    <rPh sb="0" eb="2">
      <t>オオスギ</t>
    </rPh>
    <rPh sb="2" eb="4">
      <t>コウギョウ</t>
    </rPh>
    <phoneticPr fontId="1"/>
  </si>
  <si>
    <t>佐野建設</t>
    <rPh sb="0" eb="2">
      <t>サノ</t>
    </rPh>
    <rPh sb="2" eb="4">
      <t>ケンセツ</t>
    </rPh>
    <phoneticPr fontId="1"/>
  </si>
  <si>
    <t>中部産業</t>
    <rPh sb="0" eb="2">
      <t>チュウブ</t>
    </rPh>
    <rPh sb="2" eb="4">
      <t>サンギョウ</t>
    </rPh>
    <phoneticPr fontId="1"/>
  </si>
  <si>
    <t>商品テーブル</t>
    <rPh sb="0" eb="2">
      <t>ショウヒン</t>
    </rPh>
    <phoneticPr fontId="1"/>
  </si>
  <si>
    <t>基本料金</t>
    <rPh sb="0" eb="2">
      <t>キホン</t>
    </rPh>
    <rPh sb="2" eb="4">
      <t>リョウキン</t>
    </rPh>
    <phoneticPr fontId="1"/>
  </si>
  <si>
    <t>E商品</t>
    <rPh sb="1" eb="3">
      <t>ショウヒン</t>
    </rPh>
    <phoneticPr fontId="1"/>
  </si>
  <si>
    <t>F商品</t>
    <rPh sb="1" eb="3">
      <t>ショウヒン</t>
    </rPh>
    <phoneticPr fontId="1"/>
  </si>
  <si>
    <t>G商品</t>
    <rPh sb="1" eb="3">
      <t>ショウヒン</t>
    </rPh>
    <phoneticPr fontId="1"/>
  </si>
  <si>
    <t>H商品</t>
    <rPh sb="1" eb="3">
      <t>ショウヒン</t>
    </rPh>
    <phoneticPr fontId="1"/>
  </si>
  <si>
    <t>超過料金の計算表</t>
    <rPh sb="0" eb="2">
      <t>チョウカ</t>
    </rPh>
    <rPh sb="2" eb="4">
      <t>リョウキン</t>
    </rPh>
    <rPh sb="5" eb="7">
      <t>ケイサン</t>
    </rPh>
    <rPh sb="7" eb="8">
      <t>ヒョウ</t>
    </rPh>
    <phoneticPr fontId="1"/>
  </si>
  <si>
    <t>11以上</t>
    <rPh sb="2" eb="4">
      <t>イジョウ</t>
    </rPh>
    <phoneticPr fontId="1"/>
  </si>
  <si>
    <t>それ以外</t>
    <rPh sb="2" eb="4">
      <t>イガイ</t>
    </rPh>
    <phoneticPr fontId="1"/>
  </si>
  <si>
    <t>貸出料金÷10×（日数ー10）÷２</t>
    <rPh sb="0" eb="2">
      <t>カシダシ</t>
    </rPh>
    <rPh sb="2" eb="4">
      <t>リョウキン</t>
    </rPh>
    <rPh sb="9" eb="11">
      <t>ニッスウ</t>
    </rPh>
    <phoneticPr fontId="1"/>
  </si>
  <si>
    <t>割引額の計算式</t>
    <rPh sb="0" eb="3">
      <t>ワリビキガク</t>
    </rPh>
    <rPh sb="4" eb="7">
      <t>ケイサンシキ</t>
    </rPh>
    <phoneticPr fontId="1"/>
  </si>
  <si>
    <t>貸出数　　　H数</t>
    <rPh sb="0" eb="2">
      <t>カシダシ</t>
    </rPh>
    <rPh sb="2" eb="3">
      <t>スウ</t>
    </rPh>
    <rPh sb="7" eb="8">
      <t>スウ</t>
    </rPh>
    <phoneticPr fontId="1"/>
  </si>
  <si>
    <t>10以上　または　10未満</t>
    <rPh sb="2" eb="4">
      <t>イジョウ</t>
    </rPh>
    <rPh sb="11" eb="13">
      <t>ミマン</t>
    </rPh>
    <phoneticPr fontId="1"/>
  </si>
  <si>
    <t>貸出料金×8.7％</t>
    <rPh sb="0" eb="2">
      <t>カシダシ</t>
    </rPh>
    <rPh sb="2" eb="4">
      <t>リョウキン</t>
    </rPh>
    <phoneticPr fontId="1"/>
  </si>
  <si>
    <t>ポイント率表</t>
    <rPh sb="4" eb="5">
      <t>リツ</t>
    </rPh>
    <rPh sb="5" eb="6">
      <t>ヒョウ</t>
    </rPh>
    <phoneticPr fontId="1"/>
  </si>
  <si>
    <t>50万以上</t>
    <rPh sb="2" eb="5">
      <t>マンイジョウ</t>
    </rPh>
    <phoneticPr fontId="1"/>
  </si>
  <si>
    <t>40万以上　50万未満</t>
    <rPh sb="2" eb="5">
      <t>マンイジョウ</t>
    </rPh>
    <rPh sb="8" eb="9">
      <t>マン</t>
    </rPh>
    <rPh sb="9" eb="11">
      <t>ミマン</t>
    </rPh>
    <phoneticPr fontId="1"/>
  </si>
  <si>
    <t>1以上　40万未満</t>
    <rPh sb="1" eb="3">
      <t>イジョウ</t>
    </rPh>
    <rPh sb="6" eb="7">
      <t>マン</t>
    </rPh>
    <rPh sb="7" eb="9">
      <t>ミマン</t>
    </rPh>
    <phoneticPr fontId="1"/>
  </si>
  <si>
    <t>ポイント率</t>
    <rPh sb="4" eb="5">
      <t>リツ</t>
    </rPh>
    <phoneticPr fontId="1"/>
  </si>
  <si>
    <t>得意先集計表</t>
    <rPh sb="0" eb="3">
      <t>トクイサキ</t>
    </rPh>
    <rPh sb="3" eb="5">
      <t>シュウケイ</t>
    </rPh>
    <rPh sb="5" eb="6">
      <t>ヒョウ</t>
    </rPh>
    <phoneticPr fontId="1"/>
  </si>
  <si>
    <t>貸出数が13未満で貸出料金が46万円以上の件数</t>
    <rPh sb="0" eb="2">
      <t>カシダシ</t>
    </rPh>
    <rPh sb="2" eb="3">
      <t>スウ</t>
    </rPh>
    <rPh sb="6" eb="8">
      <t>ミマン</t>
    </rPh>
    <rPh sb="9" eb="11">
      <t>カシダシ</t>
    </rPh>
    <rPh sb="11" eb="13">
      <t>リョウキン</t>
    </rPh>
    <rPh sb="16" eb="20">
      <t>マンエンイジョウ</t>
    </rPh>
    <rPh sb="21" eb="23">
      <t>ケンスウ</t>
    </rPh>
    <phoneticPr fontId="1"/>
  </si>
  <si>
    <t>日数が15H以下で補償料が20000円以下の請求額の平均</t>
    <rPh sb="0" eb="2">
      <t>ニッスウ</t>
    </rPh>
    <rPh sb="6" eb="8">
      <t>イカ</t>
    </rPh>
    <rPh sb="9" eb="11">
      <t>ホショウ</t>
    </rPh>
    <rPh sb="11" eb="12">
      <t>リョウ</t>
    </rPh>
    <rPh sb="18" eb="19">
      <t>エン</t>
    </rPh>
    <rPh sb="19" eb="21">
      <t>イカ</t>
    </rPh>
    <rPh sb="22" eb="24">
      <t>セイキュウ</t>
    </rPh>
    <rPh sb="24" eb="25">
      <t>ガク</t>
    </rPh>
    <rPh sb="26" eb="28">
      <t>ヘイキン</t>
    </rPh>
    <phoneticPr fontId="1"/>
  </si>
  <si>
    <t>得COが102位外のポイントの合計</t>
    <rPh sb="0" eb="1">
      <t>トク</t>
    </rPh>
    <rPh sb="7" eb="8">
      <t>イ</t>
    </rPh>
    <rPh sb="8" eb="9">
      <t>ガイ</t>
    </rPh>
    <rPh sb="15" eb="17">
      <t>ゴウケイ</t>
    </rPh>
    <phoneticPr fontId="1"/>
  </si>
  <si>
    <t>得意先名</t>
    <rPh sb="0" eb="3">
      <t>トクイサキ</t>
    </rPh>
    <rPh sb="3" eb="4">
      <t>メイ</t>
    </rPh>
    <phoneticPr fontId="1"/>
  </si>
  <si>
    <t>青木設備</t>
    <rPh sb="0" eb="2">
      <t>アオキ</t>
    </rPh>
    <rPh sb="2" eb="4">
      <t>セツビ</t>
    </rPh>
    <phoneticPr fontId="1"/>
  </si>
  <si>
    <t>大杉工業</t>
    <rPh sb="0" eb="2">
      <t>オオスギ</t>
    </rPh>
    <rPh sb="2" eb="4">
      <t>コウギョウ</t>
    </rPh>
    <phoneticPr fontId="1"/>
  </si>
  <si>
    <t>佐野建設</t>
    <rPh sb="0" eb="2">
      <t>サノ</t>
    </rPh>
    <rPh sb="2" eb="4">
      <t>ケンセツ</t>
    </rPh>
    <phoneticPr fontId="1"/>
  </si>
  <si>
    <t>中部産業</t>
    <rPh sb="0" eb="2">
      <t>チュウブ</t>
    </rPh>
    <rPh sb="2" eb="4">
      <t>サンギョウ</t>
    </rPh>
    <phoneticPr fontId="1"/>
  </si>
  <si>
    <t>貸出数</t>
    <rPh sb="0" eb="2">
      <t>カシダシ</t>
    </rPh>
    <rPh sb="2" eb="3">
      <t>スウ</t>
    </rPh>
    <phoneticPr fontId="1"/>
  </si>
  <si>
    <t>貸出料金</t>
    <rPh sb="0" eb="2">
      <t>カシダシ</t>
    </rPh>
    <rPh sb="2" eb="4">
      <t>リョウキン</t>
    </rPh>
    <phoneticPr fontId="1"/>
  </si>
  <si>
    <t>&lt;13</t>
    <phoneticPr fontId="1"/>
  </si>
  <si>
    <t>&gt;=460000</t>
    <phoneticPr fontId="1"/>
  </si>
  <si>
    <t>日数</t>
    <rPh sb="0" eb="2">
      <t>ニッスウ</t>
    </rPh>
    <phoneticPr fontId="1"/>
  </si>
  <si>
    <t>補償料</t>
    <rPh sb="0" eb="2">
      <t>ホショウ</t>
    </rPh>
    <rPh sb="2" eb="3">
      <t>リョウ</t>
    </rPh>
    <phoneticPr fontId="1"/>
  </si>
  <si>
    <t>&lt;=20000</t>
    <phoneticPr fontId="1"/>
  </si>
  <si>
    <t>得CO</t>
    <rPh sb="0" eb="1">
      <t>トク</t>
    </rPh>
    <phoneticPr fontId="1"/>
  </si>
  <si>
    <t>&lt;&gt;102</t>
    <phoneticPr fontId="1"/>
  </si>
  <si>
    <t>&lt;=15</t>
    <phoneticPr fontId="1"/>
  </si>
  <si>
    <t>別解答</t>
    <rPh sb="0" eb="1">
      <t>ベツ</t>
    </rPh>
    <rPh sb="1" eb="3">
      <t>カイトウ</t>
    </rPh>
    <phoneticPr fontId="1"/>
  </si>
  <si>
    <t>本解答はデータベース関数（DSUM、DAVERAGE、DCOUNT）を用い、別解答は、SUMIF、AVERAGEIFS、COUNTIFSを用いています。</t>
    <rPh sb="0" eb="1">
      <t>ホン</t>
    </rPh>
    <rPh sb="1" eb="3">
      <t>カイトウ</t>
    </rPh>
    <rPh sb="10" eb="12">
      <t>カンスウ</t>
    </rPh>
    <rPh sb="35" eb="36">
      <t>モチ</t>
    </rPh>
    <rPh sb="38" eb="39">
      <t>ベツ</t>
    </rPh>
    <rPh sb="39" eb="41">
      <t>カイトウ</t>
    </rPh>
    <rPh sb="69" eb="70">
      <t>モチ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</si>
</sst>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0.0%"/>
  </numFmts>
  <fonts count="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9">
    <xf numFmtId="0" fontId="0" fillId="0" borderId="0" xfId="0">
      <alignment vertical="center"/>
    </xf>
    <xf numFmtId="0" fontId="0" fillId="0" borderId="1" xfId="0" applyBorder="1">
      <alignment vertical="center"/>
    </xf>
    <xf numFmtId="176" fontId="0" fillId="0" borderId="1" xfId="0" applyNumberFormat="1" applyBorder="1">
      <alignment vertical="center"/>
    </xf>
    <xf numFmtId="0" fontId="0" fillId="0" borderId="2" xfId="0" applyBorder="1">
      <alignment vertical="center"/>
    </xf>
    <xf numFmtId="177" fontId="0" fillId="0" borderId="1" xfId="0" applyNumberFormat="1" applyBorder="1">
      <alignment vertical="center"/>
    </xf>
    <xf numFmtId="0" fontId="0" fillId="0" borderId="6" xfId="0" applyBorder="1">
      <alignment vertical="center"/>
    </xf>
    <xf numFmtId="0" fontId="0" fillId="0" borderId="0" xfId="0" applyBorder="1">
      <alignment vertical="center"/>
    </xf>
    <xf numFmtId="0" fontId="0" fillId="2" borderId="1" xfId="0" applyFill="1" applyBorder="1">
      <alignment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>
      <alignment vertical="center"/>
    </xf>
    <xf numFmtId="176" fontId="0" fillId="0" borderId="11" xfId="0" applyNumberFormat="1" applyBorder="1">
      <alignment vertical="center"/>
    </xf>
    <xf numFmtId="0" fontId="0" fillId="0" borderId="12" xfId="0" applyBorder="1">
      <alignment vertical="center"/>
    </xf>
    <xf numFmtId="176" fontId="0" fillId="0" borderId="13" xfId="0" applyNumberFormat="1" applyBorder="1">
      <alignment vertical="center"/>
    </xf>
    <xf numFmtId="176" fontId="0" fillId="0" borderId="14" xfId="0" applyNumberFormat="1" applyBorder="1">
      <alignment vertical="center"/>
    </xf>
    <xf numFmtId="0" fontId="0" fillId="0" borderId="9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3" xfId="0" applyBorder="1">
      <alignment vertical="center"/>
    </xf>
    <xf numFmtId="0" fontId="0" fillId="0" borderId="18" xfId="0" applyFill="1" applyBorder="1">
      <alignment vertical="center"/>
    </xf>
    <xf numFmtId="0" fontId="0" fillId="0" borderId="0" xfId="0" applyAlignment="1">
      <alignment vertical="center" wrapText="1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2" fillId="0" borderId="0" xfId="0" applyFont="1" applyAlignment="1">
      <alignment horizontal="left" vertical="top" wrapText="1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貸出料金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Sheet1!$B$23</c:f>
              <c:strCache>
                <c:ptCount val="1"/>
                <c:pt idx="0">
                  <c:v>貸出料金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Sheet1!$A$24:$A$27</c:f>
              <c:strCache>
                <c:ptCount val="4"/>
                <c:pt idx="0">
                  <c:v>青木設備</c:v>
                </c:pt>
                <c:pt idx="1">
                  <c:v>大杉工業</c:v>
                </c:pt>
                <c:pt idx="2">
                  <c:v>佐野建設</c:v>
                </c:pt>
                <c:pt idx="3">
                  <c:v>中部産業</c:v>
                </c:pt>
              </c:strCache>
            </c:strRef>
          </c:cat>
          <c:val>
            <c:numRef>
              <c:f>Sheet1!$B$24:$B$27</c:f>
              <c:numCache>
                <c:formatCode>#,##0_ </c:formatCode>
                <c:ptCount val="4"/>
                <c:pt idx="0">
                  <c:v>1865000</c:v>
                </c:pt>
                <c:pt idx="1">
                  <c:v>1662000</c:v>
                </c:pt>
                <c:pt idx="2">
                  <c:v>2188000</c:v>
                </c:pt>
                <c:pt idx="3">
                  <c:v>1858000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62-4AD4-AE2F-5D8152F6DDAB}"/>
            </c:ext>
          </c:extLst>
        </c:ser>
        <c:ser>
          <c:idx val="1"/>
          <c:order val="1"/>
          <c:tx>
            <c:strRef>
              <c:f>Sheet1!$C$23</c:f>
              <c:strCache>
                <c:ptCount val="1"/>
                <c:pt idx="0">
                  <c:v>超過料金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Sheet1!$A$24:$A$27</c:f>
              <c:strCache>
                <c:ptCount val="4"/>
                <c:pt idx="0">
                  <c:v>青木設備</c:v>
                </c:pt>
                <c:pt idx="1">
                  <c:v>大杉工業</c:v>
                </c:pt>
                <c:pt idx="2">
                  <c:v>佐野建設</c:v>
                </c:pt>
                <c:pt idx="3">
                  <c:v>中部産業</c:v>
                </c:pt>
              </c:strCache>
            </c:strRef>
          </c:cat>
          <c:val>
            <c:numRef>
              <c:f>Sheet1!$C$24:$C$27</c:f>
              <c:numCache>
                <c:formatCode>#,##0_ </c:formatCode>
                <c:ptCount val="4"/>
                <c:pt idx="0">
                  <c:v>254550</c:v>
                </c:pt>
                <c:pt idx="1">
                  <c:v>218600</c:v>
                </c:pt>
                <c:pt idx="2">
                  <c:v>217500</c:v>
                </c:pt>
                <c:pt idx="3">
                  <c:v>403800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962-4AD4-AE2F-5D8152F6DD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78865944"/>
        <c:axId val="778866272"/>
      </c:barChart>
      <c:catAx>
        <c:axId val="778865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78866272"/>
        <c:crosses val="autoZero"/>
        <c:auto val="1"/>
        <c:lblAlgn val="ctr"/>
        <c:lblOffset val="100"/>
        <c:noMultiLvlLbl val="0"/>
      </c:catAx>
      <c:valAx>
        <c:axId val="7788662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78865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407670</xdr:colOff>
      <xdr:row>25</xdr:row>
      <xdr:rowOff>41910</xdr:rowOff>
    </xdr:from>
    <xdr:to>
      <xdr:col>20</xdr:col>
      <xdr:colOff>148590</xdr:colOff>
      <xdr:row>37</xdr:row>
      <xdr:rowOff>41910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A35E735A-BC9C-452C-A260-AF02360B640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3CDF4D-0C51-4A4F-84E8-1C9502213AE2}">
  <dimension ref="A1:W34"/>
  <sheetViews>
    <sheetView tabSelected="1" topLeftCell="C1" workbookViewId="0">
      <selection activeCell="U16" sqref="U16:V18"/>
    </sheetView>
  </sheetViews>
  <sheetFormatPr defaultRowHeight="18" x14ac:dyDescent="0.45"/>
  <cols>
    <col min="1" max="1" width="8.59765625" bestFit="1" customWidth="1"/>
    <col min="2" max="2" width="9.8984375" bestFit="1" customWidth="1"/>
    <col min="3" max="3" width="8.59765625" bestFit="1" customWidth="1"/>
    <col min="4" max="4" width="9.8984375" bestFit="1" customWidth="1"/>
    <col min="5" max="5" width="6.796875" bestFit="1" customWidth="1"/>
    <col min="6" max="6" width="5" bestFit="1" customWidth="1"/>
    <col min="7" max="8" width="9.8984375" bestFit="1" customWidth="1"/>
    <col min="9" max="10" width="8.3984375" bestFit="1" customWidth="1"/>
    <col min="11" max="11" width="9.8984375" bestFit="1" customWidth="1"/>
    <col min="12" max="12" width="8.69921875" bestFit="1" customWidth="1"/>
    <col min="13" max="13" width="8.3984375" bestFit="1" customWidth="1"/>
    <col min="14" max="15" width="8.59765625" bestFit="1" customWidth="1"/>
    <col min="16" max="16" width="10" bestFit="1" customWidth="1"/>
    <col min="17" max="17" width="8.59765625" bestFit="1" customWidth="1"/>
    <col min="18" max="18" width="9" bestFit="1" customWidth="1"/>
    <col min="19" max="19" width="8.59765625" bestFit="1" customWidth="1"/>
    <col min="20" max="20" width="4.69921875" customWidth="1"/>
    <col min="23" max="23" width="10.3984375" bestFit="1" customWidth="1"/>
  </cols>
  <sheetData>
    <row r="1" spans="1:23" ht="18.600000000000001" thickBot="1" x14ac:dyDescent="0.5">
      <c r="A1" s="30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2"/>
    </row>
    <row r="2" spans="1:23" x14ac:dyDescent="0.45">
      <c r="A2" s="8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9" t="s">
        <v>11</v>
      </c>
      <c r="L2" s="10" t="s">
        <v>12</v>
      </c>
      <c r="N2" s="33" t="s">
        <v>14</v>
      </c>
      <c r="O2" s="34"/>
      <c r="Q2" s="33" t="s">
        <v>19</v>
      </c>
      <c r="R2" s="35"/>
      <c r="S2" s="34"/>
    </row>
    <row r="3" spans="1:23" x14ac:dyDescent="0.45">
      <c r="A3" s="11">
        <v>101</v>
      </c>
      <c r="B3" s="1" t="str">
        <f>VLOOKUP(A3,$N$4:$O$7,2,0)</f>
        <v>青木設備</v>
      </c>
      <c r="C3" s="1">
        <v>11</v>
      </c>
      <c r="D3" s="1" t="str">
        <f>VLOOKUP(C3,$Q$4:$R$7,2,0)</f>
        <v>E商品</v>
      </c>
      <c r="E3" s="1">
        <v>6</v>
      </c>
      <c r="F3" s="1">
        <v>9</v>
      </c>
      <c r="G3" s="2">
        <f>VLOOKUP(C3,$Q$4:$S$7,3,0)*E3</f>
        <v>372000</v>
      </c>
      <c r="H3" s="2">
        <f>IF(F3&gt;=10,G3/10*(F3-10)/2,0)</f>
        <v>0</v>
      </c>
      <c r="I3" s="2">
        <f>ROUNDUP((G3+H3)*3.4%,-1)</f>
        <v>12650</v>
      </c>
      <c r="J3" s="2">
        <f>IF(OR(E3&gt;=10,F3&lt;10),G3*8.7%,0)</f>
        <v>32363.999999999996</v>
      </c>
      <c r="K3" s="2">
        <f>G3+H3+I3-J3</f>
        <v>352286</v>
      </c>
      <c r="L3" s="12">
        <f>ROUND(K3*IF(K3&gt;=500000,1.7%,IF(K3&gt;=400000,1.5%,1.3%)),0)</f>
        <v>4580</v>
      </c>
      <c r="N3" s="1" t="s">
        <v>1</v>
      </c>
      <c r="O3" s="1" t="s">
        <v>2</v>
      </c>
      <c r="Q3" s="1" t="s">
        <v>3</v>
      </c>
      <c r="R3" s="1" t="s">
        <v>4</v>
      </c>
      <c r="S3" s="1" t="s">
        <v>20</v>
      </c>
    </row>
    <row r="4" spans="1:23" x14ac:dyDescent="0.45">
      <c r="A4" s="11">
        <v>102</v>
      </c>
      <c r="B4" s="1" t="str">
        <f t="shared" ref="B4:B18" si="0">VLOOKUP(A4,$N$4:$O$7,2,0)</f>
        <v>大杉工業</v>
      </c>
      <c r="C4" s="1">
        <v>11</v>
      </c>
      <c r="D4" s="1" t="str">
        <f t="shared" ref="D4:D18" si="1">VLOOKUP(C4,$Q$4:$R$7,2,0)</f>
        <v>E商品</v>
      </c>
      <c r="E4" s="1">
        <v>11</v>
      </c>
      <c r="F4" s="1">
        <v>9</v>
      </c>
      <c r="G4" s="2">
        <f t="shared" ref="G4:G18" si="2">VLOOKUP(C4,$Q$4:$S$7,3,0)*E4</f>
        <v>682000</v>
      </c>
      <c r="H4" s="2">
        <f t="shared" ref="H4:H18" si="3">IF(F4&gt;=10,G4/10*(F4-10)/2,0)</f>
        <v>0</v>
      </c>
      <c r="I4" s="2">
        <f t="shared" ref="I4:I18" si="4">ROUNDUP((G4+H4)*3.4%,-1)</f>
        <v>23190</v>
      </c>
      <c r="J4" s="2">
        <f t="shared" ref="J4:J18" si="5">IF(OR(E4&gt;=10,F4&lt;10),G4*8.7%,0)</f>
        <v>59333.999999999993</v>
      </c>
      <c r="K4" s="2">
        <f t="shared" ref="K4:K18" si="6">G4+H4+I4-J4</f>
        <v>645856</v>
      </c>
      <c r="L4" s="12">
        <f t="shared" ref="L4:L18" si="7">ROUND(K4*IF(K4&gt;=500000,1.7%,IF(K4&gt;=400000,1.5%,1.3%)),0)</f>
        <v>10980</v>
      </c>
      <c r="N4" s="1">
        <v>101</v>
      </c>
      <c r="O4" s="1" t="s">
        <v>15</v>
      </c>
      <c r="Q4" s="1">
        <v>11</v>
      </c>
      <c r="R4" s="1" t="s">
        <v>21</v>
      </c>
      <c r="S4" s="2">
        <v>62000</v>
      </c>
    </row>
    <row r="5" spans="1:23" x14ac:dyDescent="0.45">
      <c r="A5" s="11">
        <v>103</v>
      </c>
      <c r="B5" s="1" t="str">
        <f t="shared" si="0"/>
        <v>佐野建設</v>
      </c>
      <c r="C5" s="1">
        <v>11</v>
      </c>
      <c r="D5" s="1" t="str">
        <f t="shared" si="1"/>
        <v>E商品</v>
      </c>
      <c r="E5" s="1">
        <v>12</v>
      </c>
      <c r="F5" s="1">
        <v>12</v>
      </c>
      <c r="G5" s="2">
        <f t="shared" si="2"/>
        <v>744000</v>
      </c>
      <c r="H5" s="2">
        <f t="shared" si="3"/>
        <v>74400</v>
      </c>
      <c r="I5" s="2">
        <f t="shared" si="4"/>
        <v>27830</v>
      </c>
      <c r="J5" s="2">
        <f t="shared" si="5"/>
        <v>64727.999999999993</v>
      </c>
      <c r="K5" s="2">
        <f t="shared" si="6"/>
        <v>781502</v>
      </c>
      <c r="L5" s="12">
        <f t="shared" si="7"/>
        <v>13286</v>
      </c>
      <c r="N5" s="1">
        <v>102</v>
      </c>
      <c r="O5" s="1" t="s">
        <v>16</v>
      </c>
      <c r="Q5" s="1">
        <v>12</v>
      </c>
      <c r="R5" s="1" t="s">
        <v>22</v>
      </c>
      <c r="S5" s="2">
        <v>53000</v>
      </c>
    </row>
    <row r="6" spans="1:23" x14ac:dyDescent="0.45">
      <c r="A6" s="11">
        <v>104</v>
      </c>
      <c r="B6" s="1" t="str">
        <f t="shared" si="0"/>
        <v>中部産業</v>
      </c>
      <c r="C6" s="1">
        <v>11</v>
      </c>
      <c r="D6" s="1" t="str">
        <f t="shared" si="1"/>
        <v>E商品</v>
      </c>
      <c r="E6" s="1">
        <v>6</v>
      </c>
      <c r="F6" s="1">
        <v>20</v>
      </c>
      <c r="G6" s="2">
        <f t="shared" si="2"/>
        <v>372000</v>
      </c>
      <c r="H6" s="2">
        <f t="shared" si="3"/>
        <v>186000</v>
      </c>
      <c r="I6" s="2">
        <f t="shared" si="4"/>
        <v>18980</v>
      </c>
      <c r="J6" s="2">
        <f t="shared" si="5"/>
        <v>0</v>
      </c>
      <c r="K6" s="2">
        <f t="shared" si="6"/>
        <v>576980</v>
      </c>
      <c r="L6" s="12">
        <f t="shared" si="7"/>
        <v>9809</v>
      </c>
      <c r="N6" s="1">
        <v>103</v>
      </c>
      <c r="O6" s="1" t="s">
        <v>17</v>
      </c>
      <c r="Q6" s="1">
        <v>13</v>
      </c>
      <c r="R6" s="1" t="s">
        <v>23</v>
      </c>
      <c r="S6" s="2">
        <v>46000</v>
      </c>
    </row>
    <row r="7" spans="1:23" x14ac:dyDescent="0.45">
      <c r="A7" s="11">
        <v>101</v>
      </c>
      <c r="B7" s="1" t="str">
        <f t="shared" si="0"/>
        <v>青木設備</v>
      </c>
      <c r="C7" s="1">
        <v>12</v>
      </c>
      <c r="D7" s="1" t="str">
        <f t="shared" si="1"/>
        <v>F商品</v>
      </c>
      <c r="E7" s="1">
        <v>10</v>
      </c>
      <c r="F7" s="1">
        <v>16</v>
      </c>
      <c r="G7" s="2">
        <f t="shared" si="2"/>
        <v>530000</v>
      </c>
      <c r="H7" s="2">
        <f t="shared" si="3"/>
        <v>159000</v>
      </c>
      <c r="I7" s="2">
        <f t="shared" si="4"/>
        <v>23430</v>
      </c>
      <c r="J7" s="2">
        <f t="shared" si="5"/>
        <v>46110</v>
      </c>
      <c r="K7" s="2">
        <f t="shared" si="6"/>
        <v>666320</v>
      </c>
      <c r="L7" s="12">
        <f t="shared" si="7"/>
        <v>11327</v>
      </c>
      <c r="N7" s="3">
        <v>104</v>
      </c>
      <c r="O7" s="3" t="s">
        <v>18</v>
      </c>
      <c r="Q7" s="3">
        <v>14</v>
      </c>
      <c r="R7" s="3" t="s">
        <v>24</v>
      </c>
      <c r="S7" s="2">
        <v>39000</v>
      </c>
    </row>
    <row r="8" spans="1:23" x14ac:dyDescent="0.45">
      <c r="A8" s="11">
        <v>102</v>
      </c>
      <c r="B8" s="1" t="str">
        <f t="shared" si="0"/>
        <v>大杉工業</v>
      </c>
      <c r="C8" s="1">
        <v>12</v>
      </c>
      <c r="D8" s="1" t="str">
        <f t="shared" si="1"/>
        <v>F商品</v>
      </c>
      <c r="E8" s="1">
        <v>9</v>
      </c>
      <c r="F8" s="1">
        <v>11</v>
      </c>
      <c r="G8" s="2">
        <f t="shared" si="2"/>
        <v>477000</v>
      </c>
      <c r="H8" s="2">
        <f t="shared" si="3"/>
        <v>23850</v>
      </c>
      <c r="I8" s="2">
        <f t="shared" si="4"/>
        <v>17030</v>
      </c>
      <c r="J8" s="2">
        <f t="shared" si="5"/>
        <v>0</v>
      </c>
      <c r="K8" s="2">
        <f t="shared" si="6"/>
        <v>517880</v>
      </c>
      <c r="L8" s="12">
        <f t="shared" si="7"/>
        <v>8804</v>
      </c>
      <c r="N8" s="5"/>
      <c r="O8" s="5"/>
      <c r="P8" s="6"/>
      <c r="Q8" s="5"/>
      <c r="R8" s="5"/>
    </row>
    <row r="9" spans="1:23" x14ac:dyDescent="0.45">
      <c r="A9" s="11">
        <v>103</v>
      </c>
      <c r="B9" s="1" t="str">
        <f t="shared" si="0"/>
        <v>佐野建設</v>
      </c>
      <c r="C9" s="1">
        <v>12</v>
      </c>
      <c r="D9" s="1" t="str">
        <f t="shared" si="1"/>
        <v>F商品</v>
      </c>
      <c r="E9" s="1">
        <v>9</v>
      </c>
      <c r="F9" s="1">
        <v>16</v>
      </c>
      <c r="G9" s="2">
        <f t="shared" si="2"/>
        <v>477000</v>
      </c>
      <c r="H9" s="2">
        <f t="shared" si="3"/>
        <v>143100</v>
      </c>
      <c r="I9" s="2">
        <f t="shared" si="4"/>
        <v>21090</v>
      </c>
      <c r="J9" s="2">
        <f t="shared" si="5"/>
        <v>0</v>
      </c>
      <c r="K9" s="2">
        <f t="shared" si="6"/>
        <v>641190</v>
      </c>
      <c r="L9" s="12">
        <f t="shared" si="7"/>
        <v>10900</v>
      </c>
      <c r="N9" s="33" t="s">
        <v>25</v>
      </c>
      <c r="O9" s="35"/>
      <c r="P9" s="35"/>
      <c r="Q9" s="35"/>
      <c r="R9" s="34"/>
    </row>
    <row r="10" spans="1:23" x14ac:dyDescent="0.45">
      <c r="A10" s="11">
        <v>104</v>
      </c>
      <c r="B10" s="1" t="str">
        <f t="shared" si="0"/>
        <v>中部産業</v>
      </c>
      <c r="C10" s="1">
        <v>12</v>
      </c>
      <c r="D10" s="1" t="str">
        <f t="shared" si="1"/>
        <v>F商品</v>
      </c>
      <c r="E10" s="1">
        <v>14</v>
      </c>
      <c r="F10" s="1">
        <v>8</v>
      </c>
      <c r="G10" s="2">
        <f t="shared" si="2"/>
        <v>742000</v>
      </c>
      <c r="H10" s="2">
        <f t="shared" si="3"/>
        <v>0</v>
      </c>
      <c r="I10" s="2">
        <f t="shared" si="4"/>
        <v>25230</v>
      </c>
      <c r="J10" s="2">
        <f t="shared" si="5"/>
        <v>64553.999999999993</v>
      </c>
      <c r="K10" s="2">
        <f t="shared" si="6"/>
        <v>702676</v>
      </c>
      <c r="L10" s="12">
        <f t="shared" si="7"/>
        <v>11945</v>
      </c>
      <c r="N10" s="1" t="s">
        <v>6</v>
      </c>
      <c r="O10" s="36" t="s">
        <v>8</v>
      </c>
      <c r="P10" s="36"/>
      <c r="Q10" s="36"/>
      <c r="R10" s="36"/>
    </row>
    <row r="11" spans="1:23" x14ac:dyDescent="0.45">
      <c r="A11" s="11">
        <v>101</v>
      </c>
      <c r="B11" s="1" t="str">
        <f t="shared" si="0"/>
        <v>青木設備</v>
      </c>
      <c r="C11" s="1">
        <v>13</v>
      </c>
      <c r="D11" s="1" t="str">
        <f t="shared" si="1"/>
        <v>G商品</v>
      </c>
      <c r="E11" s="1">
        <v>15</v>
      </c>
      <c r="F11" s="1">
        <v>7</v>
      </c>
      <c r="G11" s="2">
        <f t="shared" si="2"/>
        <v>690000</v>
      </c>
      <c r="H11" s="2">
        <f t="shared" si="3"/>
        <v>0</v>
      </c>
      <c r="I11" s="2">
        <f t="shared" si="4"/>
        <v>23460</v>
      </c>
      <c r="J11" s="2">
        <f t="shared" si="5"/>
        <v>60029.999999999993</v>
      </c>
      <c r="K11" s="2">
        <f t="shared" si="6"/>
        <v>653430</v>
      </c>
      <c r="L11" s="12">
        <f t="shared" si="7"/>
        <v>11108</v>
      </c>
      <c r="N11" s="1" t="s">
        <v>26</v>
      </c>
      <c r="O11" s="26" t="s">
        <v>28</v>
      </c>
      <c r="P11" s="26"/>
      <c r="Q11" s="26"/>
      <c r="R11" s="26"/>
    </row>
    <row r="12" spans="1:23" x14ac:dyDescent="0.45">
      <c r="A12" s="11">
        <v>102</v>
      </c>
      <c r="B12" s="1" t="str">
        <f t="shared" si="0"/>
        <v>大杉工業</v>
      </c>
      <c r="C12" s="1">
        <v>13</v>
      </c>
      <c r="D12" s="1" t="str">
        <f t="shared" si="1"/>
        <v>G商品</v>
      </c>
      <c r="E12" s="1">
        <v>5</v>
      </c>
      <c r="F12" s="1">
        <v>21</v>
      </c>
      <c r="G12" s="2">
        <f t="shared" si="2"/>
        <v>230000</v>
      </c>
      <c r="H12" s="2">
        <f t="shared" si="3"/>
        <v>126500</v>
      </c>
      <c r="I12" s="2">
        <f t="shared" si="4"/>
        <v>12130</v>
      </c>
      <c r="J12" s="2">
        <f t="shared" si="5"/>
        <v>0</v>
      </c>
      <c r="K12" s="2">
        <f t="shared" si="6"/>
        <v>368630</v>
      </c>
      <c r="L12" s="12">
        <f t="shared" si="7"/>
        <v>4792</v>
      </c>
      <c r="N12" s="1" t="s">
        <v>27</v>
      </c>
      <c r="O12" s="26">
        <v>0</v>
      </c>
      <c r="P12" s="26"/>
      <c r="Q12" s="26"/>
      <c r="R12" s="26"/>
    </row>
    <row r="13" spans="1:23" x14ac:dyDescent="0.45">
      <c r="A13" s="11">
        <v>103</v>
      </c>
      <c r="B13" s="1" t="str">
        <f t="shared" si="0"/>
        <v>佐野建設</v>
      </c>
      <c r="C13" s="1">
        <v>13</v>
      </c>
      <c r="D13" s="1" t="str">
        <f t="shared" si="1"/>
        <v>G商品</v>
      </c>
      <c r="E13" s="1">
        <v>10</v>
      </c>
      <c r="F13" s="1">
        <v>10</v>
      </c>
      <c r="G13" s="2">
        <f t="shared" si="2"/>
        <v>460000</v>
      </c>
      <c r="H13" s="2">
        <f t="shared" si="3"/>
        <v>0</v>
      </c>
      <c r="I13" s="2">
        <f t="shared" si="4"/>
        <v>15640</v>
      </c>
      <c r="J13" s="2">
        <f t="shared" si="5"/>
        <v>40020</v>
      </c>
      <c r="K13" s="2">
        <f t="shared" si="6"/>
        <v>435620</v>
      </c>
      <c r="L13" s="12">
        <f t="shared" si="7"/>
        <v>6534</v>
      </c>
    </row>
    <row r="14" spans="1:23" x14ac:dyDescent="0.45">
      <c r="A14" s="11">
        <v>104</v>
      </c>
      <c r="B14" s="1" t="str">
        <f t="shared" si="0"/>
        <v>中部産業</v>
      </c>
      <c r="C14" s="1">
        <v>13</v>
      </c>
      <c r="D14" s="1" t="str">
        <f t="shared" si="1"/>
        <v>G商品</v>
      </c>
      <c r="E14" s="1">
        <v>6</v>
      </c>
      <c r="F14" s="1">
        <v>19</v>
      </c>
      <c r="G14" s="2">
        <f t="shared" si="2"/>
        <v>276000</v>
      </c>
      <c r="H14" s="2">
        <f t="shared" si="3"/>
        <v>124200</v>
      </c>
      <c r="I14" s="2">
        <f t="shared" si="4"/>
        <v>13610</v>
      </c>
      <c r="J14" s="2">
        <f t="shared" si="5"/>
        <v>0</v>
      </c>
      <c r="K14" s="2">
        <f t="shared" si="6"/>
        <v>413810</v>
      </c>
      <c r="L14" s="12">
        <f t="shared" si="7"/>
        <v>6207</v>
      </c>
      <c r="N14" s="33" t="s">
        <v>29</v>
      </c>
      <c r="O14" s="35"/>
      <c r="P14" s="35"/>
      <c r="Q14" s="35"/>
      <c r="R14" s="35"/>
      <c r="S14" s="34"/>
      <c r="U14" s="33" t="s">
        <v>33</v>
      </c>
      <c r="V14" s="35"/>
      <c r="W14" s="34"/>
    </row>
    <row r="15" spans="1:23" x14ac:dyDescent="0.45">
      <c r="A15" s="11">
        <v>101</v>
      </c>
      <c r="B15" s="1" t="str">
        <f t="shared" si="0"/>
        <v>青木設備</v>
      </c>
      <c r="C15" s="1">
        <v>14</v>
      </c>
      <c r="D15" s="1" t="str">
        <f t="shared" si="1"/>
        <v>H商品</v>
      </c>
      <c r="E15" s="1">
        <v>7</v>
      </c>
      <c r="F15" s="1">
        <v>17</v>
      </c>
      <c r="G15" s="2">
        <f t="shared" si="2"/>
        <v>273000</v>
      </c>
      <c r="H15" s="2">
        <f t="shared" si="3"/>
        <v>95550</v>
      </c>
      <c r="I15" s="2">
        <f t="shared" si="4"/>
        <v>12540</v>
      </c>
      <c r="J15" s="2">
        <f t="shared" si="5"/>
        <v>0</v>
      </c>
      <c r="K15" s="2">
        <f t="shared" si="6"/>
        <v>381090</v>
      </c>
      <c r="L15" s="12">
        <f t="shared" si="7"/>
        <v>4954</v>
      </c>
      <c r="N15" s="37" t="s">
        <v>30</v>
      </c>
      <c r="O15" s="37"/>
      <c r="P15" s="37"/>
      <c r="Q15" s="37" t="s">
        <v>10</v>
      </c>
      <c r="R15" s="37"/>
      <c r="S15" s="37"/>
      <c r="U15" s="37" t="s">
        <v>11</v>
      </c>
      <c r="V15" s="37"/>
      <c r="W15" s="1" t="s">
        <v>37</v>
      </c>
    </row>
    <row r="16" spans="1:23" x14ac:dyDescent="0.45">
      <c r="A16" s="11">
        <v>102</v>
      </c>
      <c r="B16" s="1" t="str">
        <f t="shared" si="0"/>
        <v>大杉工業</v>
      </c>
      <c r="C16" s="1">
        <v>14</v>
      </c>
      <c r="D16" s="1" t="str">
        <f t="shared" si="1"/>
        <v>H商品</v>
      </c>
      <c r="E16" s="1">
        <v>7</v>
      </c>
      <c r="F16" s="1">
        <v>15</v>
      </c>
      <c r="G16" s="2">
        <f t="shared" si="2"/>
        <v>273000</v>
      </c>
      <c r="H16" s="2">
        <f t="shared" si="3"/>
        <v>68250</v>
      </c>
      <c r="I16" s="2">
        <f t="shared" si="4"/>
        <v>11610</v>
      </c>
      <c r="J16" s="2">
        <f t="shared" si="5"/>
        <v>0</v>
      </c>
      <c r="K16" s="2">
        <f t="shared" si="6"/>
        <v>352860</v>
      </c>
      <c r="L16" s="12">
        <f t="shared" si="7"/>
        <v>4587</v>
      </c>
      <c r="N16" s="26" t="s">
        <v>31</v>
      </c>
      <c r="O16" s="26"/>
      <c r="P16" s="26"/>
      <c r="Q16" s="26" t="s">
        <v>32</v>
      </c>
      <c r="R16" s="26"/>
      <c r="S16" s="26"/>
      <c r="U16" s="26" t="s">
        <v>34</v>
      </c>
      <c r="V16" s="26"/>
      <c r="W16" s="4">
        <v>1.7000000000000001E-2</v>
      </c>
    </row>
    <row r="17" spans="1:23" x14ac:dyDescent="0.45">
      <c r="A17" s="11">
        <v>103</v>
      </c>
      <c r="B17" s="1" t="str">
        <f t="shared" si="0"/>
        <v>佐野建設</v>
      </c>
      <c r="C17" s="1">
        <v>14</v>
      </c>
      <c r="D17" s="1" t="str">
        <f t="shared" si="1"/>
        <v>H商品</v>
      </c>
      <c r="E17" s="1">
        <v>13</v>
      </c>
      <c r="F17" s="1">
        <v>8</v>
      </c>
      <c r="G17" s="2">
        <f t="shared" si="2"/>
        <v>507000</v>
      </c>
      <c r="H17" s="2">
        <f t="shared" si="3"/>
        <v>0</v>
      </c>
      <c r="I17" s="2">
        <f t="shared" si="4"/>
        <v>17240</v>
      </c>
      <c r="J17" s="2">
        <f t="shared" si="5"/>
        <v>44109</v>
      </c>
      <c r="K17" s="2">
        <f t="shared" si="6"/>
        <v>480131</v>
      </c>
      <c r="L17" s="12">
        <f t="shared" si="7"/>
        <v>7202</v>
      </c>
      <c r="N17" s="26" t="s">
        <v>27</v>
      </c>
      <c r="O17" s="26"/>
      <c r="P17" s="26"/>
      <c r="Q17" s="26">
        <v>0</v>
      </c>
      <c r="R17" s="26"/>
      <c r="S17" s="26"/>
      <c r="U17" s="26" t="s">
        <v>35</v>
      </c>
      <c r="V17" s="26"/>
      <c r="W17" s="4">
        <v>1.4999999999999999E-2</v>
      </c>
    </row>
    <row r="18" spans="1:23" x14ac:dyDescent="0.45">
      <c r="A18" s="11">
        <v>104</v>
      </c>
      <c r="B18" s="1" t="str">
        <f t="shared" si="0"/>
        <v>中部産業</v>
      </c>
      <c r="C18" s="1">
        <v>14</v>
      </c>
      <c r="D18" s="1" t="str">
        <f t="shared" si="1"/>
        <v>H商品</v>
      </c>
      <c r="E18" s="1">
        <v>12</v>
      </c>
      <c r="F18" s="1">
        <v>14</v>
      </c>
      <c r="G18" s="2">
        <f t="shared" si="2"/>
        <v>468000</v>
      </c>
      <c r="H18" s="2">
        <f t="shared" si="3"/>
        <v>93600</v>
      </c>
      <c r="I18" s="2">
        <f t="shared" si="4"/>
        <v>19100</v>
      </c>
      <c r="J18" s="2">
        <f t="shared" si="5"/>
        <v>40716</v>
      </c>
      <c r="K18" s="2">
        <f t="shared" si="6"/>
        <v>539984</v>
      </c>
      <c r="L18" s="12">
        <f t="shared" si="7"/>
        <v>9180</v>
      </c>
      <c r="U18" s="26" t="s">
        <v>36</v>
      </c>
      <c r="V18" s="26"/>
      <c r="W18" s="4">
        <v>1.2999999999999999E-2</v>
      </c>
    </row>
    <row r="19" spans="1:23" x14ac:dyDescent="0.45">
      <c r="A19" s="11"/>
      <c r="B19" s="1"/>
      <c r="C19" s="1"/>
      <c r="D19" s="1"/>
      <c r="E19" s="1"/>
      <c r="F19" s="1"/>
      <c r="G19" s="1"/>
      <c r="H19" s="1"/>
      <c r="I19" s="1"/>
      <c r="J19" s="1"/>
      <c r="K19" s="1"/>
      <c r="L19" s="17"/>
    </row>
    <row r="20" spans="1:23" ht="18.600000000000001" thickBot="1" x14ac:dyDescent="0.5">
      <c r="A20" s="18"/>
      <c r="B20" s="19" t="s">
        <v>13</v>
      </c>
      <c r="C20" s="19"/>
      <c r="D20" s="19"/>
      <c r="E20" s="20">
        <f>SUM(E3:E18)</f>
        <v>152</v>
      </c>
      <c r="F20" s="20">
        <f t="shared" ref="F20:L20" si="8">SUM(F3:F18)</f>
        <v>212</v>
      </c>
      <c r="G20" s="14">
        <f t="shared" si="8"/>
        <v>7573000</v>
      </c>
      <c r="H20" s="14">
        <f t="shared" si="8"/>
        <v>1094450</v>
      </c>
      <c r="I20" s="14">
        <f t="shared" si="8"/>
        <v>294760</v>
      </c>
      <c r="J20" s="14">
        <f t="shared" si="8"/>
        <v>451964.99999999994</v>
      </c>
      <c r="K20" s="14">
        <f t="shared" si="8"/>
        <v>8510245</v>
      </c>
      <c r="L20" s="15">
        <f t="shared" si="8"/>
        <v>136195</v>
      </c>
      <c r="O20" s="7" t="s">
        <v>42</v>
      </c>
      <c r="P20" s="7" t="s">
        <v>42</v>
      </c>
      <c r="Q20" s="7" t="s">
        <v>42</v>
      </c>
      <c r="R20" s="7" t="s">
        <v>42</v>
      </c>
    </row>
    <row r="21" spans="1:23" x14ac:dyDescent="0.45">
      <c r="O21" s="7" t="s">
        <v>43</v>
      </c>
      <c r="P21" s="7" t="s">
        <v>44</v>
      </c>
      <c r="Q21" s="7" t="s">
        <v>45</v>
      </c>
      <c r="R21" s="7" t="s">
        <v>46</v>
      </c>
    </row>
    <row r="22" spans="1:23" ht="18.600000000000001" thickBot="1" x14ac:dyDescent="0.5">
      <c r="A22" s="38" t="s">
        <v>38</v>
      </c>
      <c r="B22" s="38"/>
      <c r="C22" s="38"/>
      <c r="D22" s="38"/>
    </row>
    <row r="23" spans="1:23" x14ac:dyDescent="0.45">
      <c r="A23" s="8" t="s">
        <v>2</v>
      </c>
      <c r="B23" s="9" t="s">
        <v>7</v>
      </c>
      <c r="C23" s="9" t="s">
        <v>8</v>
      </c>
      <c r="D23" s="10" t="s">
        <v>11</v>
      </c>
      <c r="F23" s="23" t="s">
        <v>39</v>
      </c>
      <c r="G23" s="24"/>
      <c r="H23" s="24"/>
      <c r="I23" s="24"/>
      <c r="J23" s="24"/>
      <c r="K23" s="24"/>
      <c r="L23" s="24"/>
      <c r="M23" s="16">
        <f>DCOUNT($A$2:$L$18,5,$O$23:$P$24)</f>
        <v>7</v>
      </c>
      <c r="O23" s="7" t="s">
        <v>47</v>
      </c>
      <c r="P23" s="7" t="s">
        <v>48</v>
      </c>
      <c r="Q23" s="7" t="s">
        <v>51</v>
      </c>
      <c r="R23" s="7" t="s">
        <v>52</v>
      </c>
      <c r="S23" s="7" t="s">
        <v>54</v>
      </c>
    </row>
    <row r="24" spans="1:23" x14ac:dyDescent="0.45">
      <c r="A24" s="11" t="s">
        <v>15</v>
      </c>
      <c r="B24" s="2">
        <f>DSUM($A$2:$L$18,7,$O$20:$O$21)</f>
        <v>1865000</v>
      </c>
      <c r="C24" s="2">
        <f>DSUM($A$2:$L$18,8,$O$20:$O$21)</f>
        <v>254550</v>
      </c>
      <c r="D24" s="12">
        <f>DSUM($A$2:$L$18,11,$O$20:$O$21)</f>
        <v>2053126</v>
      </c>
      <c r="F24" s="25" t="s">
        <v>40</v>
      </c>
      <c r="G24" s="26"/>
      <c r="H24" s="26"/>
      <c r="I24" s="26"/>
      <c r="J24" s="26"/>
      <c r="K24" s="26"/>
      <c r="L24" s="26"/>
      <c r="M24" s="12">
        <f>ROUND(DAVERAGE($A$2:$L$18,11,$Q$23:$R$24),0)</f>
        <v>446460</v>
      </c>
      <c r="O24" s="7" t="s">
        <v>49</v>
      </c>
      <c r="P24" s="7" t="s">
        <v>50</v>
      </c>
      <c r="Q24" s="7" t="s">
        <v>56</v>
      </c>
      <c r="R24" s="7" t="s">
        <v>53</v>
      </c>
      <c r="S24" s="7" t="s">
        <v>55</v>
      </c>
    </row>
    <row r="25" spans="1:23" ht="18.600000000000001" thickBot="1" x14ac:dyDescent="0.5">
      <c r="A25" s="11" t="s">
        <v>16</v>
      </c>
      <c r="B25" s="2">
        <f>DSUM($A$2:$L$18,7,$P$20:$P$21)</f>
        <v>1662000</v>
      </c>
      <c r="C25" s="2">
        <f>DSUM($A$2:$L$18,8,$P$20:$P$21)</f>
        <v>218600</v>
      </c>
      <c r="D25" s="12">
        <f>DSUM($A$2:$L$18,11,$P$20:$P$21)</f>
        <v>1885226</v>
      </c>
      <c r="F25" s="27" t="s">
        <v>41</v>
      </c>
      <c r="G25" s="28"/>
      <c r="H25" s="28"/>
      <c r="I25" s="28"/>
      <c r="J25" s="28"/>
      <c r="K25" s="28"/>
      <c r="L25" s="28"/>
      <c r="M25" s="15">
        <f>DSUM($A$2:$L$18,12,$S$23:$S$24)</f>
        <v>107032</v>
      </c>
    </row>
    <row r="26" spans="1:23" ht="18.600000000000001" thickBot="1" x14ac:dyDescent="0.5">
      <c r="A26" s="11" t="s">
        <v>17</v>
      </c>
      <c r="B26" s="2">
        <f>DSUM($A$2:$L$18,7,$Q$20:$Q$21)</f>
        <v>2188000</v>
      </c>
      <c r="C26" s="2">
        <f>DSUM($A$2:$L$18,8,$Q$20:$Q$21)</f>
        <v>217500</v>
      </c>
      <c r="D26" s="12">
        <f>DSUM($A$2:$L$18,11,$Q$20:$Q$21)</f>
        <v>2338443</v>
      </c>
      <c r="F26" t="s">
        <v>57</v>
      </c>
    </row>
    <row r="27" spans="1:23" ht="18.600000000000001" thickBot="1" x14ac:dyDescent="0.5">
      <c r="A27" s="13" t="s">
        <v>18</v>
      </c>
      <c r="B27" s="14">
        <f>DSUM($A$2:$L$18,7,$R$20:$R$21)</f>
        <v>1858000</v>
      </c>
      <c r="C27" s="14">
        <f>DSUM($A$2:$L$18,8,$R$20:$R$21)</f>
        <v>403800</v>
      </c>
      <c r="D27" s="15">
        <f>DSUM($A$2:$L$18,11,$R$20:$R$21)</f>
        <v>2233450</v>
      </c>
      <c r="F27" s="23" t="s">
        <v>39</v>
      </c>
      <c r="G27" s="24"/>
      <c r="H27" s="24"/>
      <c r="I27" s="24"/>
      <c r="J27" s="24"/>
      <c r="K27" s="24"/>
      <c r="L27" s="24"/>
      <c r="M27" s="16">
        <f>COUNTIFS($E$3:$E$18,"&lt;13",$G$3:$G$18,"&gt;=460000")</f>
        <v>7</v>
      </c>
    </row>
    <row r="28" spans="1:23" ht="18.600000000000001" thickBot="1" x14ac:dyDescent="0.5">
      <c r="A28" s="21" t="s">
        <v>57</v>
      </c>
      <c r="F28" s="25" t="s">
        <v>40</v>
      </c>
      <c r="G28" s="26"/>
      <c r="H28" s="26"/>
      <c r="I28" s="26"/>
      <c r="J28" s="26"/>
      <c r="K28" s="26"/>
      <c r="L28" s="26"/>
      <c r="M28" s="12">
        <f>ROUND(AVERAGEIFS($K$3:$K$18,$F$3:$F$18,"&lt;=15",$I$3:$I$18,"&lt;=20000"),0)</f>
        <v>446460</v>
      </c>
    </row>
    <row r="29" spans="1:23" ht="18.600000000000001" thickBot="1" x14ac:dyDescent="0.5">
      <c r="A29" s="8" t="s">
        <v>2</v>
      </c>
      <c r="B29" s="9" t="s">
        <v>7</v>
      </c>
      <c r="C29" s="9" t="s">
        <v>8</v>
      </c>
      <c r="D29" s="10" t="s">
        <v>11</v>
      </c>
      <c r="F29" s="27" t="s">
        <v>41</v>
      </c>
      <c r="G29" s="28"/>
      <c r="H29" s="28"/>
      <c r="I29" s="28"/>
      <c r="J29" s="28"/>
      <c r="K29" s="28"/>
      <c r="L29" s="28"/>
      <c r="M29" s="15">
        <f>SUMIF($A$3:$A$18,"&lt;&gt;102",$L$3:$L$18)</f>
        <v>107032</v>
      </c>
    </row>
    <row r="30" spans="1:23" x14ac:dyDescent="0.45">
      <c r="A30" s="11" t="s">
        <v>15</v>
      </c>
      <c r="B30" s="2">
        <f>SUMIF($B$3:$B$18,"青木設備",G$3:G$18)</f>
        <v>1865000</v>
      </c>
      <c r="C30" s="2">
        <f t="shared" ref="C30" si="9">SUMIF($B$3:$B$18,"青木設備",H$3:H$18)</f>
        <v>254550</v>
      </c>
      <c r="D30" s="12">
        <f>SUMIF($B$3:$B$18,"青木設備",K$3:K$18)</f>
        <v>2053126</v>
      </c>
    </row>
    <row r="31" spans="1:23" x14ac:dyDescent="0.45">
      <c r="A31" s="11" t="s">
        <v>16</v>
      </c>
      <c r="B31" s="2">
        <f>SUMIF($B$3:$B$18,"大杉工業",G$3:G$18)</f>
        <v>1662000</v>
      </c>
      <c r="C31" s="2">
        <f t="shared" ref="C31" si="10">SUMIF($B$3:$B$18,"大杉工業",H$3:H$18)</f>
        <v>218600</v>
      </c>
      <c r="D31" s="12">
        <f>SUMIF($B$3:$B$18,"大杉工業",K$3:K$18)</f>
        <v>1885226</v>
      </c>
      <c r="F31" s="29" t="s">
        <v>58</v>
      </c>
      <c r="G31" s="29"/>
      <c r="H31" s="29"/>
      <c r="I31" s="29"/>
      <c r="J31" s="29"/>
      <c r="K31" s="29"/>
      <c r="L31" s="29"/>
      <c r="M31" s="29"/>
    </row>
    <row r="32" spans="1:23" x14ac:dyDescent="0.45">
      <c r="A32" s="11" t="s">
        <v>17</v>
      </c>
      <c r="B32" s="2">
        <f>SUMIF($B$3:$B$18,"佐野建設",G$3:G$18)</f>
        <v>2188000</v>
      </c>
      <c r="C32" s="2">
        <f t="shared" ref="C32" si="11">SUMIF($B$3:$B$18,"佐野建設",H$3:H$18)</f>
        <v>217500</v>
      </c>
      <c r="D32" s="12">
        <f>SUMIF($B$3:$B$18,"佐野建設",K$3:K$18)</f>
        <v>2338443</v>
      </c>
      <c r="F32" s="29"/>
      <c r="G32" s="29"/>
      <c r="H32" s="29"/>
      <c r="I32" s="29"/>
      <c r="J32" s="29"/>
      <c r="K32" s="29"/>
      <c r="L32" s="29"/>
      <c r="M32" s="29"/>
    </row>
    <row r="33" spans="1:13" ht="18.600000000000001" thickBot="1" x14ac:dyDescent="0.5">
      <c r="A33" s="13" t="s">
        <v>18</v>
      </c>
      <c r="B33" s="14">
        <f>SUMIF($B$3:$B$18,"中部産業",G$3:G$18)</f>
        <v>1858000</v>
      </c>
      <c r="C33" s="14">
        <f t="shared" ref="C33" si="12">SUMIF($B$3:$B$18,"中部産業",H$3:H$18)</f>
        <v>403800</v>
      </c>
      <c r="D33" s="15">
        <f>SUMIF($B$3:$B$18,"中部産業",K$3:K$18)</f>
        <v>2233450</v>
      </c>
      <c r="F33" s="29"/>
      <c r="G33" s="29"/>
      <c r="H33" s="29"/>
      <c r="I33" s="29"/>
      <c r="J33" s="29"/>
      <c r="K33" s="29"/>
      <c r="L33" s="29"/>
      <c r="M33" s="29"/>
    </row>
    <row r="34" spans="1:13" x14ac:dyDescent="0.45">
      <c r="F34" s="22"/>
    </row>
  </sheetData>
  <mergeCells count="27">
    <mergeCell ref="U18:V18"/>
    <mergeCell ref="U14:W14"/>
    <mergeCell ref="A22:D22"/>
    <mergeCell ref="F23:L23"/>
    <mergeCell ref="F24:L24"/>
    <mergeCell ref="U15:V15"/>
    <mergeCell ref="U16:V16"/>
    <mergeCell ref="U17:V17"/>
    <mergeCell ref="O12:R12"/>
    <mergeCell ref="N15:P15"/>
    <mergeCell ref="N16:P16"/>
    <mergeCell ref="F25:L25"/>
    <mergeCell ref="N17:P17"/>
    <mergeCell ref="Q16:S16"/>
    <mergeCell ref="Q15:S15"/>
    <mergeCell ref="N14:S14"/>
    <mergeCell ref="Q17:S17"/>
    <mergeCell ref="N2:O2"/>
    <mergeCell ref="Q2:S2"/>
    <mergeCell ref="N9:R9"/>
    <mergeCell ref="O11:R11"/>
    <mergeCell ref="O10:R10"/>
    <mergeCell ref="F27:L27"/>
    <mergeCell ref="F28:L28"/>
    <mergeCell ref="F29:L29"/>
    <mergeCell ref="F31:M33"/>
    <mergeCell ref="A1:L1"/>
  </mergeCells>
  <phoneticPr fontId="1"/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beerk</dc:creator>
  <cp:lastModifiedBy>beerk</cp:lastModifiedBy>
  <dcterms:created xsi:type="dcterms:W3CDTF">2020-04-16T10:53:31Z</dcterms:created>
  <dcterms:modified xsi:type="dcterms:W3CDTF">2020-04-21T11:04:47Z</dcterms:modified>
</cp:coreProperties>
</file>