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esktop\"/>
    </mc:Choice>
  </mc:AlternateContent>
  <xr:revisionPtr revIDLastSave="0" documentId="13_ncr:1_{CEF0E54A-7DF2-4B9B-B848-D97093A911B5}" xr6:coauthVersionLast="45" xr6:coauthVersionMax="45" xr10:uidLastSave="{00000000-0000-0000-0000-000000000000}"/>
  <bookViews>
    <workbookView xWindow="-108" yWindow="-108" windowWidth="23256" windowHeight="12576" xr2:uid="{A9D8A556-C0C0-441B-A407-9A48ECEAD7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C37" i="1"/>
  <c r="C35" i="1"/>
  <c r="B36" i="1"/>
  <c r="B37" i="1"/>
  <c r="B35" i="1"/>
  <c r="F25" i="1"/>
  <c r="G18" i="1"/>
  <c r="G17" i="1"/>
  <c r="G22" i="1"/>
  <c r="G12" i="1"/>
  <c r="G23" i="1"/>
  <c r="G14" i="1"/>
  <c r="G16" i="1"/>
  <c r="G20" i="1"/>
  <c r="G21" i="1"/>
  <c r="G13" i="1"/>
  <c r="G15" i="1"/>
  <c r="G19" i="1"/>
  <c r="D18" i="1" l="1"/>
  <c r="E18" i="1" s="1"/>
  <c r="H18" i="1" s="1"/>
  <c r="I18" i="1" s="1"/>
  <c r="J18" i="1" s="1"/>
  <c r="D17" i="1"/>
  <c r="E17" i="1" s="1"/>
  <c r="H17" i="1" s="1"/>
  <c r="I17" i="1" s="1"/>
  <c r="J17" i="1" s="1"/>
  <c r="D22" i="1"/>
  <c r="E22" i="1" s="1"/>
  <c r="H22" i="1" s="1"/>
  <c r="I22" i="1" s="1"/>
  <c r="J22" i="1" s="1"/>
  <c r="D12" i="1"/>
  <c r="E12" i="1" s="1"/>
  <c r="H12" i="1" s="1"/>
  <c r="I12" i="1" s="1"/>
  <c r="D23" i="1"/>
  <c r="E23" i="1" s="1"/>
  <c r="H23" i="1" s="1"/>
  <c r="I23" i="1" s="1"/>
  <c r="J23" i="1" s="1"/>
  <c r="D14" i="1"/>
  <c r="E14" i="1" s="1"/>
  <c r="H14" i="1" s="1"/>
  <c r="I14" i="1" s="1"/>
  <c r="J14" i="1" s="1"/>
  <c r="D16" i="1"/>
  <c r="E16" i="1" s="1"/>
  <c r="H16" i="1" s="1"/>
  <c r="I16" i="1" s="1"/>
  <c r="J16" i="1" s="1"/>
  <c r="D20" i="1"/>
  <c r="E20" i="1" s="1"/>
  <c r="H20" i="1" s="1"/>
  <c r="I20" i="1" s="1"/>
  <c r="J20" i="1" s="1"/>
  <c r="D21" i="1"/>
  <c r="E21" i="1" s="1"/>
  <c r="H21" i="1" s="1"/>
  <c r="I21" i="1" s="1"/>
  <c r="J21" i="1" s="1"/>
  <c r="D13" i="1"/>
  <c r="E13" i="1" s="1"/>
  <c r="H13" i="1" s="1"/>
  <c r="I13" i="1" s="1"/>
  <c r="J13" i="1" s="1"/>
  <c r="D15" i="1"/>
  <c r="E15" i="1" s="1"/>
  <c r="H15" i="1" s="1"/>
  <c r="I15" i="1" s="1"/>
  <c r="J15" i="1" s="1"/>
  <c r="D19" i="1"/>
  <c r="E19" i="1" s="1"/>
  <c r="H19" i="1" s="1"/>
  <c r="I19" i="1" s="1"/>
  <c r="J19" i="1" s="1"/>
  <c r="B18" i="1"/>
  <c r="B17" i="1"/>
  <c r="B22" i="1"/>
  <c r="B12" i="1"/>
  <c r="B23" i="1"/>
  <c r="B14" i="1"/>
  <c r="B16" i="1"/>
  <c r="B20" i="1"/>
  <c r="B21" i="1"/>
  <c r="B13" i="1"/>
  <c r="B15" i="1"/>
  <c r="B19" i="1"/>
  <c r="I25" i="1" l="1"/>
  <c r="J12" i="1"/>
  <c r="C31" i="1"/>
  <c r="C30" i="1"/>
  <c r="C29" i="1"/>
  <c r="B31" i="1"/>
  <c r="B30" i="1"/>
  <c r="B29" i="1"/>
  <c r="G4" i="1"/>
  <c r="G5" i="1"/>
  <c r="G6" i="1"/>
  <c r="G3" i="1"/>
  <c r="D8" i="1"/>
  <c r="E8" i="1"/>
  <c r="F8" i="1"/>
  <c r="C8" i="1"/>
  <c r="F4" i="1"/>
  <c r="F5" i="1"/>
  <c r="F6" i="1"/>
  <c r="F3" i="1"/>
  <c r="E4" i="1"/>
  <c r="E5" i="1"/>
  <c r="E6" i="1"/>
  <c r="E3" i="1"/>
</calcChain>
</file>

<file path=xl/sharedStrings.xml><?xml version="1.0" encoding="utf-8"?>
<sst xmlns="http://schemas.openxmlformats.org/spreadsheetml/2006/main" count="64" uniqueCount="39">
  <si>
    <t>商品別原価計算表</t>
    <rPh sb="0" eb="2">
      <t>ショウヒン</t>
    </rPh>
    <rPh sb="2" eb="3">
      <t>ベツ</t>
    </rPh>
    <rPh sb="3" eb="5">
      <t>ゲンカ</t>
    </rPh>
    <rPh sb="5" eb="7">
      <t>ケイサン</t>
    </rPh>
    <rPh sb="7" eb="8">
      <t>ヒョウ</t>
    </rPh>
    <phoneticPr fontId="1"/>
  </si>
  <si>
    <t>商CO</t>
    <rPh sb="0" eb="1">
      <t>ショウ</t>
    </rPh>
    <phoneticPr fontId="1"/>
  </si>
  <si>
    <t>商品名</t>
    <rPh sb="0" eb="3">
      <t>ショウヒンメイ</t>
    </rPh>
    <phoneticPr fontId="1"/>
  </si>
  <si>
    <t>仕入数</t>
    <rPh sb="0" eb="2">
      <t>シイレ</t>
    </rPh>
    <rPh sb="2" eb="3">
      <t>スウ</t>
    </rPh>
    <phoneticPr fontId="1"/>
  </si>
  <si>
    <t>仕入額</t>
    <rPh sb="0" eb="2">
      <t>シイレ</t>
    </rPh>
    <rPh sb="2" eb="3">
      <t>ガク</t>
    </rPh>
    <phoneticPr fontId="1"/>
  </si>
  <si>
    <t>仕入値引額</t>
    <rPh sb="0" eb="2">
      <t>シイレ</t>
    </rPh>
    <rPh sb="2" eb="4">
      <t>ネビキ</t>
    </rPh>
    <rPh sb="4" eb="5">
      <t>ガク</t>
    </rPh>
    <phoneticPr fontId="1"/>
  </si>
  <si>
    <t>増量数</t>
    <rPh sb="0" eb="2">
      <t>ゾウリョウ</t>
    </rPh>
    <rPh sb="2" eb="3">
      <t>スウ</t>
    </rPh>
    <phoneticPr fontId="1"/>
  </si>
  <si>
    <t>原価</t>
    <rPh sb="0" eb="2">
      <t>ゲンカ</t>
    </rPh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</si>
  <si>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</si>
  <si>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1"/>
  </si>
  <si>
    <t>商品C</t>
    <rPh sb="0" eb="2">
      <t>ショウヒン</t>
    </rPh>
    <phoneticPr fontId="1"/>
  </si>
  <si>
    <t>商品D</t>
    <rPh sb="0" eb="2">
      <t>ショウヒン</t>
    </rPh>
    <phoneticPr fontId="1"/>
  </si>
  <si>
    <t>合計</t>
    <rPh sb="0" eb="2">
      <t>ゴウケイ</t>
    </rPh>
    <phoneticPr fontId="1"/>
  </si>
  <si>
    <t>得意先別売上一覧表</t>
    <rPh sb="0" eb="3">
      <t>トクイサキ</t>
    </rPh>
    <rPh sb="3" eb="4">
      <t>ベツ</t>
    </rPh>
    <rPh sb="4" eb="6">
      <t>ウリアゲ</t>
    </rPh>
    <rPh sb="6" eb="8">
      <t>イチラン</t>
    </rPh>
    <rPh sb="8" eb="9">
      <t>ヒョウ</t>
    </rPh>
    <phoneticPr fontId="1"/>
  </si>
  <si>
    <t>得CO</t>
    <rPh sb="0" eb="1">
      <t>トク</t>
    </rPh>
    <phoneticPr fontId="1"/>
  </si>
  <si>
    <t>得意先名</t>
    <rPh sb="0" eb="3">
      <t>トクイサキ</t>
    </rPh>
    <rPh sb="3" eb="4">
      <t>メイ</t>
    </rPh>
    <phoneticPr fontId="1"/>
  </si>
  <si>
    <t>定価</t>
    <rPh sb="0" eb="2">
      <t>テイカ</t>
    </rPh>
    <phoneticPr fontId="1"/>
  </si>
  <si>
    <t>売上数</t>
    <rPh sb="0" eb="2">
      <t>ウリアゲ</t>
    </rPh>
    <rPh sb="2" eb="3">
      <t>スウ</t>
    </rPh>
    <phoneticPr fontId="1"/>
  </si>
  <si>
    <t>掛率</t>
    <rPh sb="0" eb="2">
      <t>カケリツ</t>
    </rPh>
    <phoneticPr fontId="1"/>
  </si>
  <si>
    <t>売価</t>
    <rPh sb="0" eb="2">
      <t>バイカ</t>
    </rPh>
    <phoneticPr fontId="1"/>
  </si>
  <si>
    <t>売上額</t>
    <rPh sb="0" eb="2">
      <t>ウリアゲ</t>
    </rPh>
    <rPh sb="2" eb="3">
      <t>ガク</t>
    </rPh>
    <phoneticPr fontId="1"/>
  </si>
  <si>
    <t>判定</t>
    <rPh sb="0" eb="2">
      <t>ハンテイ</t>
    </rPh>
    <phoneticPr fontId="1"/>
  </si>
  <si>
    <t>得意先別集計表</t>
    <rPh sb="0" eb="3">
      <t>トクイサキ</t>
    </rPh>
    <rPh sb="3" eb="4">
      <t>ベツ</t>
    </rPh>
    <rPh sb="4" eb="6">
      <t>シュウケイ</t>
    </rPh>
    <rPh sb="6" eb="7">
      <t>ヒョウ</t>
    </rPh>
    <phoneticPr fontId="1"/>
  </si>
  <si>
    <t>スター商事</t>
    <rPh sb="3" eb="5">
      <t>ショウジ</t>
    </rPh>
    <phoneticPr fontId="1"/>
  </si>
  <si>
    <t>ＫＬＳ総業</t>
    <rPh sb="3" eb="5">
      <t>ソウギョウ</t>
    </rPh>
    <phoneticPr fontId="1"/>
  </si>
  <si>
    <t>小早川物産</t>
    <rPh sb="0" eb="3">
      <t>コバヤカワ</t>
    </rPh>
    <rPh sb="3" eb="5">
      <t>ブッサン</t>
    </rPh>
    <phoneticPr fontId="1"/>
  </si>
  <si>
    <t>増量数表</t>
    <rPh sb="0" eb="2">
      <t>ゾウリョウ</t>
    </rPh>
    <rPh sb="2" eb="4">
      <t>スウヒョウ</t>
    </rPh>
    <phoneticPr fontId="1"/>
  </si>
  <si>
    <t>仕入数　　　　　仕入額</t>
    <rPh sb="0" eb="2">
      <t>シイレ</t>
    </rPh>
    <rPh sb="2" eb="3">
      <t>スウ</t>
    </rPh>
    <rPh sb="8" eb="10">
      <t>シイレ</t>
    </rPh>
    <rPh sb="10" eb="11">
      <t>ガク</t>
    </rPh>
    <phoneticPr fontId="1"/>
  </si>
  <si>
    <t>2300以上　かつ　520万以上</t>
    <rPh sb="4" eb="6">
      <t>イジョウ</t>
    </rPh>
    <rPh sb="13" eb="14">
      <t>マン</t>
    </rPh>
    <rPh sb="14" eb="16">
      <t>イジョウ</t>
    </rPh>
    <phoneticPr fontId="1"/>
  </si>
  <si>
    <t>それ以外</t>
    <rPh sb="2" eb="4">
      <t>イガイ</t>
    </rPh>
    <phoneticPr fontId="1"/>
  </si>
  <si>
    <t>得意先テーブル</t>
    <rPh sb="0" eb="3">
      <t>トクイサキ</t>
    </rPh>
    <phoneticPr fontId="1"/>
  </si>
  <si>
    <t>掛率表</t>
    <rPh sb="0" eb="2">
      <t>カケリツ</t>
    </rPh>
    <rPh sb="2" eb="3">
      <t>ヒョウ</t>
    </rPh>
    <phoneticPr fontId="1"/>
  </si>
  <si>
    <t>820以上</t>
    <rPh sb="3" eb="5">
      <t>イジョウ</t>
    </rPh>
    <phoneticPr fontId="1"/>
  </si>
  <si>
    <t>710以上　820未満</t>
    <rPh sb="3" eb="5">
      <t>イジョウ</t>
    </rPh>
    <rPh sb="9" eb="11">
      <t>ミマン</t>
    </rPh>
    <phoneticPr fontId="1"/>
  </si>
  <si>
    <t>1以上　　710未満</t>
    <rPh sb="1" eb="3">
      <t>イジョウ</t>
    </rPh>
    <rPh sb="8" eb="10">
      <t>ミマン</t>
    </rPh>
    <phoneticPr fontId="1"/>
  </si>
  <si>
    <t>得意先名</t>
    <rPh sb="0" eb="3">
      <t>トクイサキ</t>
    </rPh>
    <rPh sb="3" eb="4">
      <t>メイ</t>
    </rPh>
    <phoneticPr fontId="1"/>
  </si>
  <si>
    <t>得意先別集計表（別解答）</t>
    <rPh sb="0" eb="3">
      <t>トクイサキ</t>
    </rPh>
    <rPh sb="3" eb="4">
      <t>ベツ</t>
    </rPh>
    <rPh sb="4" eb="6">
      <t>シュウケイ</t>
    </rPh>
    <rPh sb="6" eb="7">
      <t>ヒョウ</t>
    </rPh>
    <rPh sb="8" eb="9">
      <t>ベツ</t>
    </rPh>
    <rPh sb="9" eb="11">
      <t>カイトウ</t>
    </rPh>
    <phoneticPr fontId="1"/>
  </si>
  <si>
    <t>得意先別集計表は、データベース関数の（＝DSUM)を使用しています。得意先別集計表（別解答）は、条件分岐関数の（＝SUMIF)を使用しています。</t>
    <rPh sb="0" eb="2">
      <t>トクイ</t>
    </rPh>
    <rPh sb="2" eb="3">
      <t>サキ</t>
    </rPh>
    <rPh sb="3" eb="4">
      <t>ベツ</t>
    </rPh>
    <rPh sb="4" eb="6">
      <t>シュウケイ</t>
    </rPh>
    <rPh sb="6" eb="7">
      <t>ヒョウ</t>
    </rPh>
    <rPh sb="15" eb="17">
      <t>カンスウ</t>
    </rPh>
    <rPh sb="26" eb="28">
      <t>シヨウ</t>
    </rPh>
    <rPh sb="34" eb="37">
      <t>トクイサキ</t>
    </rPh>
    <rPh sb="37" eb="38">
      <t>ベツ</t>
    </rPh>
    <rPh sb="38" eb="40">
      <t>シュウケイ</t>
    </rPh>
    <rPh sb="40" eb="41">
      <t>ヒョウ</t>
    </rPh>
    <rPh sb="42" eb="43">
      <t>ベツ</t>
    </rPh>
    <rPh sb="43" eb="45">
      <t>カイトウ</t>
    </rPh>
    <rPh sb="48" eb="50">
      <t>ジョウケン</t>
    </rPh>
    <rPh sb="50" eb="52">
      <t>ブンキ</t>
    </rPh>
    <rPh sb="52" eb="54">
      <t>カンスウ</t>
    </rPh>
    <rPh sb="64" eb="66">
      <t>シヨウ</t>
    </rPh>
    <phoneticPr fontId="1"/>
  </si>
  <si>
    <t>データベース関数用</t>
    <rPh sb="6" eb="8">
      <t>カンスウ</t>
    </rPh>
    <rPh sb="8" eb="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</si>
</sst>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10" xfId="0" applyBorder="1" applyAlignment="1">
      <alignment horizontal="left" vertical="center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売上額の比較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Sheet1!$C$28</c:f>
              <c:strCache>
                <c:ptCount val="1"/>
                <c:pt idx="0">
                  <c:v>売上額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Sheet1!$A$29:$A$31</c:f>
              <c:strCache>
                <c:ptCount val="3"/>
                <c:pt idx="0">
                  <c:v>スター商事</c:v>
                </c:pt>
                <c:pt idx="1">
                  <c:v>ＫＬＳ総業</c:v>
                </c:pt>
                <c:pt idx="2">
                  <c:v>小早川物産</c:v>
                </c:pt>
              </c:strCache>
            </c:strRef>
          </c:cat>
          <c:val>
            <c:numRef>
              <c:f>Sheet1!$C$29:$C$31</c:f>
              <c:numCache>
                <c:formatCode>#,##0_ </c:formatCode>
                <c:ptCount val="3"/>
                <c:pt idx="0">
                  <c:v>7484678</c:v>
                </c:pt>
                <c:pt idx="1">
                  <c:v>7722612</c:v>
                </c:pt>
                <c:pt idx="2">
                  <c:v>7881038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D-4743-88CE-1835A2858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895696"/>
        <c:axId val="703891104"/>
      </c:barChart>
      <c:catAx>
        <c:axId val="70389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3891104"/>
        <c:crosses val="autoZero"/>
        <c:auto val="1"/>
        <c:lblAlgn val="ctr"/>
        <c:lblOffset val="100"/>
        <c:noMultiLvlLbl val="0"/>
      </c:catAx>
      <c:valAx>
        <c:axId val="70389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389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118110</xdr:colOff>
      <xdr:row>25</xdr:row>
      <xdr:rowOff>57150</xdr:rowOff>
    </xdr:from>
    <xdr:to>
      <xdr:col>10</xdr:col>
      <xdr:colOff>83820</xdr:colOff>
      <xdr:row>37</xdr:row>
      <xdr:rowOff>41910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8D0743-F179-493A-9CE1-266E4FB000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B92E2-464E-4C6A-9A45-85ACB45D604C}">
  <dimension ref="A1:O37"/>
  <sheetViews>
    <sheetView tabSelected="1" topLeftCell="A18" workbookViewId="0">
      <selection activeCell="P36" sqref="P36"/>
    </sheetView>
  </sheetViews>
  <sheetFormatPr defaultRowHeight="18" x14ac:dyDescent="0.45"/>
  <cols>
    <col min="1" max="2" width="10.3984375" bestFit="1" customWidth="1"/>
    <col min="3" max="3" width="9.8984375" bestFit="1" customWidth="1"/>
    <col min="4" max="4" width="11" bestFit="1" customWidth="1"/>
    <col min="5" max="5" width="10.3984375" bestFit="1" customWidth="1"/>
    <col min="6" max="6" width="6.796875" bestFit="1" customWidth="1"/>
    <col min="7" max="8" width="6.3984375" bestFit="1" customWidth="1"/>
    <col min="9" max="9" width="11" bestFit="1" customWidth="1"/>
    <col min="10" max="10" width="5" bestFit="1" customWidth="1"/>
    <col min="11" max="11" width="4.69921875" customWidth="1"/>
    <col min="12" max="14" width="10.3984375" bestFit="1" customWidth="1"/>
    <col min="15" max="15" width="6.796875" bestFit="1" customWidth="1"/>
  </cols>
  <sheetData>
    <row r="1" spans="1:15" ht="18.600000000000001" thickBot="1" x14ac:dyDescent="0.5">
      <c r="A1" s="17" t="s">
        <v>0</v>
      </c>
      <c r="B1" s="17"/>
      <c r="C1" s="17"/>
      <c r="D1" s="17"/>
      <c r="E1" s="17"/>
      <c r="F1" s="17"/>
      <c r="G1" s="17"/>
    </row>
    <row r="2" spans="1:15" x14ac:dyDescent="0.4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L2" s="18" t="s">
        <v>26</v>
      </c>
      <c r="M2" s="18"/>
      <c r="N2" s="18"/>
      <c r="O2" s="18"/>
    </row>
    <row r="3" spans="1:15" x14ac:dyDescent="0.45">
      <c r="A3" s="8">
        <v>11</v>
      </c>
      <c r="B3" s="2" t="s">
        <v>8</v>
      </c>
      <c r="C3" s="3">
        <v>2345</v>
      </c>
      <c r="D3" s="3">
        <v>5268740</v>
      </c>
      <c r="E3" s="3">
        <f>ROUNDDOWN(D3*4.7%,0)</f>
        <v>247630</v>
      </c>
      <c r="F3" s="2">
        <f>IF(AND(C3&gt;=2300,D3&gt;=5200000),$O$4,$O$5)</f>
        <v>70</v>
      </c>
      <c r="G3" s="9">
        <f>ROUNDUP((D3-E3)/(C3+F3),-1)</f>
        <v>2080</v>
      </c>
      <c r="L3" s="19" t="s">
        <v>27</v>
      </c>
      <c r="M3" s="19"/>
      <c r="N3" s="19"/>
      <c r="O3" s="1" t="s">
        <v>6</v>
      </c>
    </row>
    <row r="4" spans="1:15" x14ac:dyDescent="0.45">
      <c r="A4" s="8">
        <v>12</v>
      </c>
      <c r="B4" s="2" t="s">
        <v>9</v>
      </c>
      <c r="C4" s="3">
        <v>1982</v>
      </c>
      <c r="D4" s="3">
        <v>5306830</v>
      </c>
      <c r="E4" s="3">
        <f t="shared" ref="E4:E6" si="0">ROUNDDOWN(D4*4.7%,0)</f>
        <v>249421</v>
      </c>
      <c r="F4" s="2">
        <f t="shared" ref="F4:F6" si="1">IF(AND(C4&gt;=2300,D4&gt;=5200000),$O$4,$O$5)</f>
        <v>40</v>
      </c>
      <c r="G4" s="9">
        <f t="shared" ref="G4:G6" si="2">ROUNDUP((D4-E4)/(C4+F4),-1)</f>
        <v>2510</v>
      </c>
      <c r="L4" s="16" t="s">
        <v>28</v>
      </c>
      <c r="M4" s="16"/>
      <c r="N4" s="16"/>
      <c r="O4" s="2">
        <v>70</v>
      </c>
    </row>
    <row r="5" spans="1:15" x14ac:dyDescent="0.45">
      <c r="A5" s="8">
        <v>13</v>
      </c>
      <c r="B5" s="2" t="s">
        <v>10</v>
      </c>
      <c r="C5" s="3">
        <v>2491</v>
      </c>
      <c r="D5" s="3">
        <v>4993420</v>
      </c>
      <c r="E5" s="3">
        <f t="shared" si="0"/>
        <v>234690</v>
      </c>
      <c r="F5" s="2">
        <f t="shared" si="1"/>
        <v>40</v>
      </c>
      <c r="G5" s="9">
        <f t="shared" si="2"/>
        <v>1890</v>
      </c>
      <c r="L5" s="16" t="s">
        <v>29</v>
      </c>
      <c r="M5" s="16"/>
      <c r="N5" s="16"/>
      <c r="O5" s="2">
        <v>40</v>
      </c>
    </row>
    <row r="6" spans="1:15" x14ac:dyDescent="0.45">
      <c r="A6" s="8">
        <v>14</v>
      </c>
      <c r="B6" s="2" t="s">
        <v>11</v>
      </c>
      <c r="C6" s="3">
        <v>2300</v>
      </c>
      <c r="D6" s="3">
        <v>5602580</v>
      </c>
      <c r="E6" s="3">
        <f t="shared" si="0"/>
        <v>263321</v>
      </c>
      <c r="F6" s="2">
        <f t="shared" si="1"/>
        <v>70</v>
      </c>
      <c r="G6" s="9">
        <f t="shared" si="2"/>
        <v>2260</v>
      </c>
    </row>
    <row r="7" spans="1:15" x14ac:dyDescent="0.45">
      <c r="A7" s="8"/>
      <c r="B7" s="2"/>
      <c r="C7" s="2"/>
      <c r="D7" s="2"/>
      <c r="E7" s="2"/>
      <c r="F7" s="2"/>
      <c r="G7" s="10"/>
      <c r="L7" s="18" t="s">
        <v>30</v>
      </c>
      <c r="M7" s="18"/>
    </row>
    <row r="8" spans="1:15" ht="18.600000000000001" thickBot="1" x14ac:dyDescent="0.5">
      <c r="A8" s="11"/>
      <c r="B8" s="12" t="s">
        <v>12</v>
      </c>
      <c r="C8" s="13">
        <f>SUM(C3:C6)</f>
        <v>9118</v>
      </c>
      <c r="D8" s="13">
        <f t="shared" ref="D8:F8" si="3">SUM(D3:D6)</f>
        <v>21171570</v>
      </c>
      <c r="E8" s="13">
        <f t="shared" si="3"/>
        <v>995062</v>
      </c>
      <c r="F8" s="13">
        <f t="shared" si="3"/>
        <v>220</v>
      </c>
      <c r="G8" s="14"/>
      <c r="L8" s="1" t="s">
        <v>14</v>
      </c>
      <c r="M8" s="1" t="s">
        <v>15</v>
      </c>
    </row>
    <row r="9" spans="1:15" x14ac:dyDescent="0.45">
      <c r="L9" s="2">
        <v>101</v>
      </c>
      <c r="M9" s="2" t="s">
        <v>23</v>
      </c>
    </row>
    <row r="10" spans="1:15" ht="18.600000000000001" thickBot="1" x14ac:dyDescent="0.5">
      <c r="A10" s="17" t="s">
        <v>13</v>
      </c>
      <c r="B10" s="17"/>
      <c r="C10" s="17"/>
      <c r="D10" s="17"/>
      <c r="E10" s="17"/>
      <c r="F10" s="17"/>
      <c r="G10" s="17"/>
      <c r="H10" s="17"/>
      <c r="I10" s="17"/>
      <c r="J10" s="17"/>
      <c r="L10" s="2">
        <v>102</v>
      </c>
      <c r="M10" s="2" t="s">
        <v>24</v>
      </c>
    </row>
    <row r="11" spans="1:15" x14ac:dyDescent="0.45">
      <c r="A11" s="5" t="s">
        <v>14</v>
      </c>
      <c r="B11" s="6" t="s">
        <v>15</v>
      </c>
      <c r="C11" s="6" t="s">
        <v>1</v>
      </c>
      <c r="D11" s="6" t="s">
        <v>2</v>
      </c>
      <c r="E11" s="6" t="s">
        <v>16</v>
      </c>
      <c r="F11" s="6" t="s">
        <v>17</v>
      </c>
      <c r="G11" s="6" t="s">
        <v>18</v>
      </c>
      <c r="H11" s="6" t="s">
        <v>19</v>
      </c>
      <c r="I11" s="6" t="s">
        <v>20</v>
      </c>
      <c r="J11" s="7" t="s">
        <v>21</v>
      </c>
      <c r="L11" s="2">
        <v>103</v>
      </c>
      <c r="M11" s="4" t="s">
        <v>25</v>
      </c>
    </row>
    <row r="12" spans="1:15" x14ac:dyDescent="0.45">
      <c r="A12" s="8">
        <v>102</v>
      </c>
      <c r="B12" s="2" t="str">
        <f>VLOOKUP(A12,$L$9:$M$11,2,0)</f>
        <v>ＫＬＳ総業</v>
      </c>
      <c r="C12" s="2">
        <v>11</v>
      </c>
      <c r="D12" s="2" t="str">
        <f>VLOOKUP(C12,$A$3:$B$6,2,0)</f>
        <v>商品A</v>
      </c>
      <c r="E12" s="3">
        <f>VLOOKUP(D12,$B$3:$G$6,6,0)*1.3</f>
        <v>2704</v>
      </c>
      <c r="F12" s="3">
        <v>912</v>
      </c>
      <c r="G12" s="15">
        <f>IF(F12&gt;=820,$N$15,IF(F12&gt;=710,$N$16,$N$17))</f>
        <v>0.89</v>
      </c>
      <c r="H12" s="3">
        <f>ROUNDDOWN(E12*G12,0)</f>
        <v>2406</v>
      </c>
      <c r="I12" s="3">
        <f>H12*F12</f>
        <v>2194272</v>
      </c>
      <c r="J12" s="20" t="str">
        <f>IF(OR(F12&gt;=825,I12&gt;=2100000),"好調","")</f>
        <v>好調</v>
      </c>
    </row>
    <row r="13" spans="1:15" x14ac:dyDescent="0.45">
      <c r="A13" s="8">
        <v>103</v>
      </c>
      <c r="B13" s="2" t="str">
        <f>VLOOKUP(A13,$L$9:$M$11,2,0)</f>
        <v>小早川物産</v>
      </c>
      <c r="C13" s="2">
        <v>13</v>
      </c>
      <c r="D13" s="2" t="str">
        <f>VLOOKUP(C13,$A$3:$B$6,2,0)</f>
        <v>商品C</v>
      </c>
      <c r="E13" s="3">
        <f>VLOOKUP(D13,$B$3:$G$6,6,0)*1.3</f>
        <v>2457</v>
      </c>
      <c r="F13" s="3">
        <v>874</v>
      </c>
      <c r="G13" s="15">
        <f>IF(F13&gt;=820,$N$15,IF(F13&gt;=710,$N$16,$N$17))</f>
        <v>0.89</v>
      </c>
      <c r="H13" s="3">
        <f>ROUNDDOWN(E13*G13,0)</f>
        <v>2186</v>
      </c>
      <c r="I13" s="3">
        <f>H13*F13</f>
        <v>1910564</v>
      </c>
      <c r="J13" s="20" t="str">
        <f>IF(OR(F13&gt;=825,I13&gt;=2100000),"好調","")</f>
        <v>好調</v>
      </c>
      <c r="L13" t="s">
        <v>31</v>
      </c>
    </row>
    <row r="14" spans="1:15" x14ac:dyDescent="0.45">
      <c r="A14" s="8">
        <v>102</v>
      </c>
      <c r="B14" s="2" t="str">
        <f>VLOOKUP(A14,$L$9:$M$11,2,0)</f>
        <v>ＫＬＳ総業</v>
      </c>
      <c r="C14" s="2">
        <v>13</v>
      </c>
      <c r="D14" s="2" t="str">
        <f>VLOOKUP(C14,$A$3:$B$6,2,0)</f>
        <v>商品C</v>
      </c>
      <c r="E14" s="3">
        <f>VLOOKUP(D14,$B$3:$G$6,6,0)*1.3</f>
        <v>2457</v>
      </c>
      <c r="F14" s="3">
        <v>825</v>
      </c>
      <c r="G14" s="15">
        <f>IF(F14&gt;=820,$N$15,IF(F14&gt;=710,$N$16,$N$17))</f>
        <v>0.89</v>
      </c>
      <c r="H14" s="3">
        <f>ROUNDDOWN(E14*G14,0)</f>
        <v>2186</v>
      </c>
      <c r="I14" s="3">
        <f>H14*F14</f>
        <v>1803450</v>
      </c>
      <c r="J14" s="20" t="str">
        <f>IF(OR(F14&gt;=825,I14&gt;=2100000),"好調","")</f>
        <v>好調</v>
      </c>
      <c r="L14" s="19" t="s">
        <v>17</v>
      </c>
      <c r="M14" s="19"/>
      <c r="N14" s="1" t="s">
        <v>18</v>
      </c>
    </row>
    <row r="15" spans="1:15" x14ac:dyDescent="0.45">
      <c r="A15" s="8">
        <v>103</v>
      </c>
      <c r="B15" s="2" t="str">
        <f>VLOOKUP(A15,$L$9:$M$11,2,0)</f>
        <v>小早川物産</v>
      </c>
      <c r="C15" s="2">
        <v>14</v>
      </c>
      <c r="D15" s="2" t="str">
        <f>VLOOKUP(C15,$A$3:$B$6,2,0)</f>
        <v>商品D</v>
      </c>
      <c r="E15" s="3">
        <f>VLOOKUP(D15,$B$3:$G$6,6,0)*1.3</f>
        <v>2938</v>
      </c>
      <c r="F15" s="3">
        <v>820</v>
      </c>
      <c r="G15" s="15">
        <f>IF(F15&gt;=820,$N$15,IF(F15&gt;=710,$N$16,$N$17))</f>
        <v>0.89</v>
      </c>
      <c r="H15" s="3">
        <f>ROUNDDOWN(E15*G15,0)</f>
        <v>2614</v>
      </c>
      <c r="I15" s="3">
        <f>H15*F15</f>
        <v>2143480</v>
      </c>
      <c r="J15" s="20" t="str">
        <f>IF(OR(F15&gt;=825,I15&gt;=2100000),"好調","")</f>
        <v>好調</v>
      </c>
      <c r="L15" s="16" t="s">
        <v>32</v>
      </c>
      <c r="M15" s="16"/>
      <c r="N15" s="15">
        <v>0.89</v>
      </c>
    </row>
    <row r="16" spans="1:15" x14ac:dyDescent="0.45">
      <c r="A16" s="8">
        <v>102</v>
      </c>
      <c r="B16" s="2" t="str">
        <f>VLOOKUP(A16,$L$9:$M$11,2,0)</f>
        <v>ＫＬＳ総業</v>
      </c>
      <c r="C16" s="2">
        <v>14</v>
      </c>
      <c r="D16" s="2" t="str">
        <f>VLOOKUP(C16,$A$3:$B$6,2,0)</f>
        <v>商品D</v>
      </c>
      <c r="E16" s="3">
        <f>VLOOKUP(D16,$B$3:$G$6,6,0)*1.3</f>
        <v>2938</v>
      </c>
      <c r="F16" s="3">
        <v>784</v>
      </c>
      <c r="G16" s="15">
        <f>IF(F16&gt;=820,$N$15,IF(F16&gt;=710,$N$16,$N$17))</f>
        <v>0.91</v>
      </c>
      <c r="H16" s="3">
        <f>ROUNDDOWN(E16*G16,0)</f>
        <v>2673</v>
      </c>
      <c r="I16" s="3">
        <f>H16*F16</f>
        <v>2095632</v>
      </c>
      <c r="J16" s="20" t="str">
        <f>IF(OR(F16&gt;=825,I16&gt;=2100000),"好調","")</f>
        <v/>
      </c>
      <c r="L16" s="16" t="s">
        <v>33</v>
      </c>
      <c r="M16" s="16"/>
      <c r="N16" s="15">
        <v>0.91</v>
      </c>
    </row>
    <row r="17" spans="1:14" x14ac:dyDescent="0.45">
      <c r="A17" s="8">
        <v>101</v>
      </c>
      <c r="B17" s="2" t="str">
        <f>VLOOKUP(A17,$L$9:$M$11,2,0)</f>
        <v>スター商事</v>
      </c>
      <c r="C17" s="2">
        <v>13</v>
      </c>
      <c r="D17" s="2" t="str">
        <f>VLOOKUP(C17,$A$3:$B$6,2,0)</f>
        <v>商品C</v>
      </c>
      <c r="E17" s="3">
        <f>VLOOKUP(D17,$B$3:$G$6,6,0)*1.3</f>
        <v>2457</v>
      </c>
      <c r="F17" s="3">
        <v>761</v>
      </c>
      <c r="G17" s="15">
        <f>IF(F17&gt;=820,$N$15,IF(F17&gt;=710,$N$16,$N$17))</f>
        <v>0.91</v>
      </c>
      <c r="H17" s="3">
        <f>ROUNDDOWN(E17*G17,0)</f>
        <v>2235</v>
      </c>
      <c r="I17" s="3">
        <f>H17*F17</f>
        <v>1700835</v>
      </c>
      <c r="J17" s="20" t="str">
        <f>IF(OR(F17&gt;=825,I17&gt;=2100000),"好調","")</f>
        <v/>
      </c>
      <c r="L17" s="16" t="s">
        <v>34</v>
      </c>
      <c r="M17" s="16"/>
      <c r="N17" s="15">
        <v>0.93</v>
      </c>
    </row>
    <row r="18" spans="1:14" x14ac:dyDescent="0.45">
      <c r="A18" s="8">
        <v>101</v>
      </c>
      <c r="B18" s="2" t="str">
        <f>VLOOKUP(A18,$L$9:$M$11,2,0)</f>
        <v>スター商事</v>
      </c>
      <c r="C18" s="2">
        <v>12</v>
      </c>
      <c r="D18" s="2" t="str">
        <f>VLOOKUP(C18,$A$3:$B$6,2,0)</f>
        <v>商品B</v>
      </c>
      <c r="E18" s="3">
        <f>VLOOKUP(D18,$B$3:$G$6,6,0)*1.3</f>
        <v>3263</v>
      </c>
      <c r="F18" s="3">
        <v>735</v>
      </c>
      <c r="G18" s="15">
        <f>IF(F18&gt;=820,$N$15,IF(F18&gt;=710,$N$16,$N$17))</f>
        <v>0.91</v>
      </c>
      <c r="H18" s="3">
        <f>ROUNDDOWN(E18*G18,0)</f>
        <v>2969</v>
      </c>
      <c r="I18" s="3">
        <f>H18*F18</f>
        <v>2182215</v>
      </c>
      <c r="J18" s="20" t="str">
        <f>IF(OR(F18&gt;=825,I18&gt;=2100000),"好調","")</f>
        <v>好調</v>
      </c>
    </row>
    <row r="19" spans="1:14" x14ac:dyDescent="0.45">
      <c r="A19" s="8">
        <v>101</v>
      </c>
      <c r="B19" s="2" t="str">
        <f>VLOOKUP(A19,$L$9:$M$11,2,0)</f>
        <v>スター商事</v>
      </c>
      <c r="C19" s="2">
        <v>11</v>
      </c>
      <c r="D19" s="2" t="str">
        <f>VLOOKUP(C19,$A$3:$B$6,2,0)</f>
        <v>商品A</v>
      </c>
      <c r="E19" s="3">
        <f>VLOOKUP(D19,$B$3:$G$6,6,0)*1.3</f>
        <v>2704</v>
      </c>
      <c r="F19" s="3">
        <v>710</v>
      </c>
      <c r="G19" s="15">
        <f>IF(F19&gt;=820,$N$15,IF(F19&gt;=710,$N$16,$N$17))</f>
        <v>0.91</v>
      </c>
      <c r="H19" s="3">
        <f>ROUNDDOWN(E19*G19,0)</f>
        <v>2460</v>
      </c>
      <c r="I19" s="3">
        <f>H19*F19</f>
        <v>1746600</v>
      </c>
      <c r="J19" s="20" t="str">
        <f>IF(OR(F19&gt;=825,I19&gt;=2100000),"好調","")</f>
        <v/>
      </c>
    </row>
    <row r="20" spans="1:14" x14ac:dyDescent="0.45">
      <c r="A20" s="8">
        <v>103</v>
      </c>
      <c r="B20" s="2" t="str">
        <f>VLOOKUP(A20,$L$9:$M$11,2,0)</f>
        <v>小早川物産</v>
      </c>
      <c r="C20" s="2">
        <v>11</v>
      </c>
      <c r="D20" s="2" t="str">
        <f>VLOOKUP(C20,$A$3:$B$6,2,0)</f>
        <v>商品A</v>
      </c>
      <c r="E20" s="3">
        <f>VLOOKUP(D20,$B$3:$G$6,6,0)*1.3</f>
        <v>2704</v>
      </c>
      <c r="F20" s="3">
        <v>698</v>
      </c>
      <c r="G20" s="15">
        <f>IF(F20&gt;=820,$N$15,IF(F20&gt;=710,$N$16,$N$17))</f>
        <v>0.93</v>
      </c>
      <c r="H20" s="3">
        <f>ROUNDDOWN(E20*G20,0)</f>
        <v>2514</v>
      </c>
      <c r="I20" s="3">
        <f>H20*F20</f>
        <v>1754772</v>
      </c>
      <c r="J20" s="20" t="str">
        <f>IF(OR(F20&gt;=825,I20&gt;=2100000),"好調","")</f>
        <v/>
      </c>
    </row>
    <row r="21" spans="1:14" x14ac:dyDescent="0.45">
      <c r="A21" s="8">
        <v>103</v>
      </c>
      <c r="B21" s="2" t="str">
        <f>VLOOKUP(A21,$L$9:$M$11,2,0)</f>
        <v>小早川物産</v>
      </c>
      <c r="C21" s="2">
        <v>12</v>
      </c>
      <c r="D21" s="2" t="str">
        <f>VLOOKUP(C21,$A$3:$B$6,2,0)</f>
        <v>商品B</v>
      </c>
      <c r="E21" s="3">
        <f>VLOOKUP(D21,$B$3:$G$6,6,0)*1.3</f>
        <v>3263</v>
      </c>
      <c r="F21" s="3">
        <v>683</v>
      </c>
      <c r="G21" s="15">
        <f>IF(F21&gt;=820,$N$15,IF(F21&gt;=710,$N$16,$N$17))</f>
        <v>0.93</v>
      </c>
      <c r="H21" s="3">
        <f>ROUNDDOWN(E21*G21,0)</f>
        <v>3034</v>
      </c>
      <c r="I21" s="3">
        <f>H21*F21</f>
        <v>2072222</v>
      </c>
      <c r="J21" s="20" t="str">
        <f>IF(OR(F21&gt;=825,I21&gt;=2100000),"好調","")</f>
        <v/>
      </c>
    </row>
    <row r="22" spans="1:14" x14ac:dyDescent="0.45">
      <c r="A22" s="8">
        <v>101</v>
      </c>
      <c r="B22" s="2" t="str">
        <f>VLOOKUP(A22,$L$9:$M$11,2,0)</f>
        <v>スター商事</v>
      </c>
      <c r="C22" s="2">
        <v>14</v>
      </c>
      <c r="D22" s="2" t="str">
        <f>VLOOKUP(C22,$A$3:$B$6,2,0)</f>
        <v>商品D</v>
      </c>
      <c r="E22" s="3">
        <f>VLOOKUP(D22,$B$3:$G$6,6,0)*1.3</f>
        <v>2938</v>
      </c>
      <c r="F22" s="3">
        <v>679</v>
      </c>
      <c r="G22" s="15">
        <f>IF(F22&gt;=820,$N$15,IF(F22&gt;=710,$N$16,$N$17))</f>
        <v>0.93</v>
      </c>
      <c r="H22" s="3">
        <f>ROUNDDOWN(E22*G22,0)</f>
        <v>2732</v>
      </c>
      <c r="I22" s="3">
        <f>H22*F22</f>
        <v>1855028</v>
      </c>
      <c r="J22" s="20" t="str">
        <f>IF(OR(F22&gt;=825,I22&gt;=2100000),"好調","")</f>
        <v/>
      </c>
    </row>
    <row r="23" spans="1:14" x14ac:dyDescent="0.45">
      <c r="A23" s="8">
        <v>102</v>
      </c>
      <c r="B23" s="2" t="str">
        <f>VLOOKUP(A23,$L$9:$M$11,2,0)</f>
        <v>ＫＬＳ総業</v>
      </c>
      <c r="C23" s="2">
        <v>12</v>
      </c>
      <c r="D23" s="2" t="str">
        <f>VLOOKUP(C23,$A$3:$B$6,2,0)</f>
        <v>商品B</v>
      </c>
      <c r="E23" s="3">
        <f>VLOOKUP(D23,$B$3:$G$6,6,0)*1.3</f>
        <v>3263</v>
      </c>
      <c r="F23" s="3">
        <v>537</v>
      </c>
      <c r="G23" s="15">
        <f>IF(F23&gt;=820,$N$15,IF(F23&gt;=710,$N$16,$N$17))</f>
        <v>0.93</v>
      </c>
      <c r="H23" s="3">
        <f>ROUNDDOWN(E23*G23,0)</f>
        <v>3034</v>
      </c>
      <c r="I23" s="3">
        <f>H23*F23</f>
        <v>1629258</v>
      </c>
      <c r="J23" s="20" t="str">
        <f>IF(OR(F23&gt;=825,I23&gt;=2100000),"好調","")</f>
        <v/>
      </c>
    </row>
    <row r="24" spans="1:14" x14ac:dyDescent="0.45">
      <c r="A24" s="8"/>
      <c r="B24" s="2"/>
      <c r="C24" s="2"/>
      <c r="D24" s="2"/>
      <c r="E24" s="2"/>
      <c r="F24" s="2"/>
      <c r="G24" s="2"/>
      <c r="H24" s="2"/>
      <c r="I24" s="2"/>
      <c r="J24" s="10"/>
    </row>
    <row r="25" spans="1:14" ht="18.600000000000001" thickBot="1" x14ac:dyDescent="0.5">
      <c r="A25" s="11"/>
      <c r="B25" s="12" t="s">
        <v>12</v>
      </c>
      <c r="C25" s="12"/>
      <c r="D25" s="12"/>
      <c r="E25" s="12"/>
      <c r="F25" s="13">
        <f>SUM(F12:F23)</f>
        <v>9018</v>
      </c>
      <c r="G25" s="12"/>
      <c r="H25" s="12"/>
      <c r="I25" s="13">
        <f>SUM(I12:I23)</f>
        <v>23088328</v>
      </c>
      <c r="J25" s="14"/>
    </row>
    <row r="27" spans="1:14" ht="18.600000000000001" thickBot="1" x14ac:dyDescent="0.5">
      <c r="A27" s="17" t="s">
        <v>22</v>
      </c>
      <c r="B27" s="17"/>
      <c r="C27" s="17"/>
      <c r="L27" s="25" t="s">
        <v>38</v>
      </c>
      <c r="M27" s="25"/>
      <c r="N27" s="25"/>
    </row>
    <row r="28" spans="1:14" x14ac:dyDescent="0.45">
      <c r="A28" s="5" t="s">
        <v>15</v>
      </c>
      <c r="B28" s="6" t="s">
        <v>17</v>
      </c>
      <c r="C28" s="7" t="s">
        <v>20</v>
      </c>
      <c r="L28" s="21" t="s">
        <v>35</v>
      </c>
      <c r="M28" s="21" t="s">
        <v>35</v>
      </c>
      <c r="N28" s="21" t="s">
        <v>35</v>
      </c>
    </row>
    <row r="29" spans="1:14" x14ac:dyDescent="0.45">
      <c r="A29" s="8" t="s">
        <v>23</v>
      </c>
      <c r="B29" s="3">
        <f>DSUM($A$11:$J$23,6,$L$28:$L$29)</f>
        <v>2885</v>
      </c>
      <c r="C29" s="9">
        <f>DSUM($A$11:$J$23,9,$L$28:$L$29)</f>
        <v>7484678</v>
      </c>
      <c r="L29" s="21" t="s">
        <v>23</v>
      </c>
      <c r="M29" s="21" t="s">
        <v>24</v>
      </c>
      <c r="N29" s="21" t="s">
        <v>25</v>
      </c>
    </row>
    <row r="30" spans="1:14" x14ac:dyDescent="0.45">
      <c r="A30" s="8" t="s">
        <v>24</v>
      </c>
      <c r="B30" s="3">
        <f>DSUM($A$11:$J$23,6,$M$28:$M$29)</f>
        <v>3058</v>
      </c>
      <c r="C30" s="9">
        <f>DSUM($A$11:$J$23,9,$M$28:$M$29)</f>
        <v>7722612</v>
      </c>
    </row>
    <row r="31" spans="1:14" ht="18.600000000000001" customHeight="1" thickBot="1" x14ac:dyDescent="0.5">
      <c r="A31" s="22" t="s">
        <v>25</v>
      </c>
      <c r="B31" s="23">
        <f>DSUM($A$11:$J$23,6,$N$28:$N$29)</f>
        <v>3075</v>
      </c>
      <c r="C31" s="24">
        <f>DSUM($A$11:$J$23,9,$N$28:$N$29)</f>
        <v>7881038</v>
      </c>
      <c r="L31" s="26" t="s">
        <v>37</v>
      </c>
      <c r="M31" s="26"/>
      <c r="N31" s="26"/>
    </row>
    <row r="32" spans="1:14" x14ac:dyDescent="0.45">
      <c r="L32" s="26"/>
      <c r="M32" s="26"/>
      <c r="N32" s="26"/>
    </row>
    <row r="33" spans="1:14" ht="18.600000000000001" thickBot="1" x14ac:dyDescent="0.5">
      <c r="A33" s="17" t="s">
        <v>36</v>
      </c>
      <c r="B33" s="17"/>
      <c r="C33" s="17"/>
      <c r="L33" s="26"/>
      <c r="M33" s="26"/>
      <c r="N33" s="26"/>
    </row>
    <row r="34" spans="1:14" x14ac:dyDescent="0.45">
      <c r="A34" s="5" t="s">
        <v>15</v>
      </c>
      <c r="B34" s="6" t="s">
        <v>17</v>
      </c>
      <c r="C34" s="7" t="s">
        <v>20</v>
      </c>
      <c r="L34" s="26"/>
      <c r="M34" s="26"/>
      <c r="N34" s="26"/>
    </row>
    <row r="35" spans="1:14" x14ac:dyDescent="0.45">
      <c r="A35" s="8" t="s">
        <v>23</v>
      </c>
      <c r="B35" s="3">
        <f>SUMIF($B$12:$B$23,$A35,$F$12:$F$23)</f>
        <v>2885</v>
      </c>
      <c r="C35" s="9">
        <f>SUMIF($B$12:$B$23,$A35,$I$12:$I$23)</f>
        <v>7484678</v>
      </c>
      <c r="L35" s="26"/>
      <c r="M35" s="26"/>
      <c r="N35" s="26"/>
    </row>
    <row r="36" spans="1:14" x14ac:dyDescent="0.45">
      <c r="A36" s="8" t="s">
        <v>24</v>
      </c>
      <c r="B36" s="3">
        <f t="shared" ref="B36:B37" si="4">SUMIF($B$12:$B$23,$A36,$F$12:$F$23)</f>
        <v>3058</v>
      </c>
      <c r="C36" s="9">
        <f t="shared" ref="C36:C37" si="5">SUMIF($B$12:$B$23,$A36,$I$12:$I$23)</f>
        <v>7722612</v>
      </c>
    </row>
    <row r="37" spans="1:14" ht="18.600000000000001" thickBot="1" x14ac:dyDescent="0.5">
      <c r="A37" s="22" t="s">
        <v>25</v>
      </c>
      <c r="B37" s="23">
        <f t="shared" si="4"/>
        <v>3075</v>
      </c>
      <c r="C37" s="24">
        <f t="shared" si="5"/>
        <v>7881038</v>
      </c>
    </row>
  </sheetData>
  <sortState xmlns:xlrd2="http://schemas.microsoft.com/office/spreadsheetml/2017/richdata2" ref="A12:J23">
    <sortCondition descending="1" ref="F12:F23"/>
  </sortState>
  <mergeCells count="15">
    <mergeCell ref="A33:C33"/>
    <mergeCell ref="L31:N35"/>
    <mergeCell ref="L27:N27"/>
    <mergeCell ref="L16:M16"/>
    <mergeCell ref="L17:M17"/>
    <mergeCell ref="A1:G1"/>
    <mergeCell ref="A10:J10"/>
    <mergeCell ref="A27:C27"/>
    <mergeCell ref="L2:O2"/>
    <mergeCell ref="L3:N3"/>
    <mergeCell ref="L4:N4"/>
    <mergeCell ref="L5:N5"/>
    <mergeCell ref="L7:M7"/>
    <mergeCell ref="L14:M14"/>
    <mergeCell ref="L15:M15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2020-04-18T03:15:50Z</dcterms:created>
  <dcterms:modified xsi:type="dcterms:W3CDTF">2020-04-18T11:00:24Z</dcterms:modified>
</cp:coreProperties>
</file>